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wmf" ContentType="image/x-w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3.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john.primo\ND Office Echo\VAULT-KJYF3JS3\"/>
    </mc:Choice>
  </mc:AlternateContent>
  <xr:revisionPtr revIDLastSave="0" documentId="13_ncr:1_{30E54542-4184-4DCB-AEA2-73A0D7743915}" xr6:coauthVersionLast="36" xr6:coauthVersionMax="36" xr10:uidLastSave="{00000000-0000-0000-0000-000000000000}"/>
  <bookViews>
    <workbookView xWindow="0" yWindow="0" windowWidth="14080" windowHeight="3960" tabRatio="791" firstSheet="10" activeTab="19" xr2:uid="{00000000-000D-0000-FFFF-FFFF00000000}"/>
  </bookViews>
  <sheets>
    <sheet name="Notes" sheetId="1" state="hidden" r:id="rId1"/>
    <sheet name="2.0 Cost Plan (Model) Summary" sheetId="7" state="hidden" r:id="rId2"/>
    <sheet name="2.0 Option 1" sheetId="8" state="hidden" r:id="rId3"/>
    <sheet name="5.0 Benchmarking Analysis 2" sheetId="10" state="hidden" r:id="rId4"/>
    <sheet name="5.0 Benchmarking Analysis 3" sheetId="11" state="hidden" r:id="rId5"/>
    <sheet name="7.0 Risks and Opportunities" sheetId="12" state="hidden" r:id="rId6"/>
    <sheet name="8.0 Outline Specification" sheetId="13" state="hidden" r:id="rId7"/>
    <sheet name="9.0 Schedule of Floor Areas" sheetId="14" state="hidden" r:id="rId8"/>
    <sheet name="Cash Flow" sheetId="15" state="hidden" r:id="rId9"/>
    <sheet name="Appendix A" sheetId="17" state="hidden" r:id="rId10"/>
    <sheet name="Part A Submission Statements" sheetId="31" r:id="rId11"/>
    <sheet name="Pricing Schedule" sheetId="18" r:id="rId12"/>
    <sheet name="Payment Milestones" sheetId="27" r:id="rId13"/>
    <sheet name="Option 4d" sheetId="19" state="hidden" r:id="rId14"/>
    <sheet name="Breakdown by Area" sheetId="21" state="hidden" r:id="rId15"/>
    <sheet name="(template)" sheetId="22" state="hidden" r:id="rId16"/>
    <sheet name="5.0 " sheetId="23" state="hidden" r:id="rId17"/>
    <sheet name="Flysheets" sheetId="24" state="hidden" r:id="rId18"/>
    <sheet name="Form of Tender Page 1" sheetId="29" r:id="rId19"/>
    <sheet name="Form of Tender Page 2" sheetId="30"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Fill" localSheetId="16" hidden="1">#REF!</definedName>
    <definedName name="_Fill" localSheetId="9" hidden="1">#REF!</definedName>
    <definedName name="_Fill" localSheetId="13" hidden="1">#REF!</definedName>
    <definedName name="_Fill" localSheetId="12" hidden="1">#REF!</definedName>
    <definedName name="_Fill" localSheetId="11" hidden="1">#REF!</definedName>
    <definedName name="_Fill" hidden="1">#REF!</definedName>
    <definedName name="_gfa1" localSheetId="16">#REF!</definedName>
    <definedName name="_gfa1" localSheetId="9">#REF!</definedName>
    <definedName name="_gfa1" localSheetId="13">#REF!</definedName>
    <definedName name="_gfa1" localSheetId="12">#REF!</definedName>
    <definedName name="_gfa1" localSheetId="11">#REF!</definedName>
    <definedName name="_gfa1">#REF!</definedName>
    <definedName name="_Key1" localSheetId="16" hidden="1">#REF!</definedName>
    <definedName name="_Key1" localSheetId="9" hidden="1">#REF!</definedName>
    <definedName name="_Key1" localSheetId="13" hidden="1">#REF!</definedName>
    <definedName name="_Key1" localSheetId="12" hidden="1">#REF!</definedName>
    <definedName name="_Key1" localSheetId="11" hidden="1">#REF!</definedName>
    <definedName name="_Key1" hidden="1">#REF!</definedName>
    <definedName name="_Sort" localSheetId="16" hidden="1">#REF!</definedName>
    <definedName name="_Sort" localSheetId="9" hidden="1">#REF!</definedName>
    <definedName name="_Sort" localSheetId="13" hidden="1">#REF!</definedName>
    <definedName name="_Sort" localSheetId="12" hidden="1">#REF!</definedName>
    <definedName name="_Sort" localSheetId="11" hidden="1">#REF!</definedName>
    <definedName name="_Sort" hidden="1">#REF!</definedName>
    <definedName name="a" localSheetId="16">#REF!</definedName>
    <definedName name="a" localSheetId="9">#REF!</definedName>
    <definedName name="a" localSheetId="13">#REF!</definedName>
    <definedName name="a" localSheetId="12">#REF!</definedName>
    <definedName name="a" localSheetId="11">#REF!</definedName>
    <definedName name="a">#REF!</definedName>
    <definedName name="actcum">OFFSET('[1]2-Cash Flow'!$E$53,0,0,COUNTA('[1]2-Cash Flow'!$E$1:$E$65536),1)</definedName>
    <definedName name="actcum1" localSheetId="16">OFFSET('[2]6.0 Cash Flow'!#REF!,0,0,COUNTA('[2]6.0 Cash Flow'!$E$1:$E$65536),1)</definedName>
    <definedName name="actcum1" localSheetId="9">OFFSET('[2]6.0 Cash Flow'!#REF!,0,0,COUNTA('[2]6.0 Cash Flow'!$E$1:$E$65536),1)</definedName>
    <definedName name="actcum1" localSheetId="13">OFFSET('[2]6.0 Cash Flow'!#REF!,0,0,COUNTA('[2]6.0 Cash Flow'!$E$1:$E$65536),1)</definedName>
    <definedName name="actcum1" localSheetId="12">OFFSET('[2]6.0 Cash Flow'!#REF!,0,0,COUNTA('[2]6.0 Cash Flow'!$E$1:$E$65536),1)</definedName>
    <definedName name="actcum1" localSheetId="11">OFFSET('[2]6.0 Cash Flow'!#REF!,0,0,COUNTA('[2]6.0 Cash Flow'!$E$1:$E$65536),1)</definedName>
    <definedName name="actcum1">OFFSET('[2]6.0 Cash Flow'!#REF!,0,0,COUNTA('[2]6.0 Cash Flow'!$E$1:$E$65536),1)</definedName>
    <definedName name="actmonth">OFFSET('[1]2-Cash Flow'!$F$53,0,0,COUNTA('[1]2-Cash Flow'!$F$1:$F$65536),1)</definedName>
    <definedName name="actmonth1" localSheetId="16">OFFSET('[2]6.0 Cash Flow'!#REF!,0,0,COUNTA('[2]6.0 Cash Flow'!$D$1:$D$65536),1)</definedName>
    <definedName name="actmonth1" localSheetId="9">OFFSET('[2]6.0 Cash Flow'!#REF!,0,0,COUNTA('[2]6.0 Cash Flow'!$D$1:$D$65536),1)</definedName>
    <definedName name="actmonth1" localSheetId="13">OFFSET('[2]6.0 Cash Flow'!#REF!,0,0,COUNTA('[2]6.0 Cash Flow'!$D$1:$D$65536),1)</definedName>
    <definedName name="actmonth1" localSheetId="12">OFFSET('[2]6.0 Cash Flow'!#REF!,0,0,COUNTA('[2]6.0 Cash Flow'!$D$1:$D$65536),1)</definedName>
    <definedName name="actmonth1" localSheetId="11">OFFSET('[2]6.0 Cash Flow'!#REF!,0,0,COUNTA('[2]6.0 Cash Flow'!$D$1:$D$65536),1)</definedName>
    <definedName name="actmonth1">OFFSET('[2]6.0 Cash Flow'!#REF!,0,0,COUNTA('[2]6.0 Cash Flow'!$D$1:$D$65536),1)</definedName>
    <definedName name="ALLOCATION" localSheetId="16">'[3]material rates'!#REF!</definedName>
    <definedName name="ALLOCATION" localSheetId="9">'[3]material rates'!#REF!</definedName>
    <definedName name="ALLOCATION" localSheetId="13">'[3]material rates'!#REF!</definedName>
    <definedName name="ALLOCATION" localSheetId="12">'[3]material rates'!#REF!</definedName>
    <definedName name="ALLOCATION" localSheetId="11">'[3]material rates'!#REF!</definedName>
    <definedName name="ALLOCATION">'[3]material rates'!#REF!</definedName>
    <definedName name="area" localSheetId="16">#REF!</definedName>
    <definedName name="area" localSheetId="9">#REF!</definedName>
    <definedName name="area" localSheetId="0">#REF!</definedName>
    <definedName name="area" localSheetId="13">#REF!</definedName>
    <definedName name="area" localSheetId="12">#REF!</definedName>
    <definedName name="area" localSheetId="11">#REF!</definedName>
    <definedName name="area">#REF!</definedName>
    <definedName name="area1" localSheetId="16">#REF!</definedName>
    <definedName name="area1" localSheetId="9">#REF!</definedName>
    <definedName name="area1" localSheetId="13">#REF!</definedName>
    <definedName name="area1" localSheetId="12">#REF!</definedName>
    <definedName name="area1" localSheetId="11">#REF!</definedName>
    <definedName name="area1">#REF!</definedName>
    <definedName name="b" localSheetId="16">#REF!</definedName>
    <definedName name="b" localSheetId="9">#REF!</definedName>
    <definedName name="b" localSheetId="13">#REF!</definedName>
    <definedName name="b" localSheetId="12">#REF!</definedName>
    <definedName name="b" localSheetId="11">#REF!</definedName>
    <definedName name="b">#REF!</definedName>
    <definedName name="blankline" localSheetId="16">#REF!</definedName>
    <definedName name="blankline" localSheetId="9">#REF!</definedName>
    <definedName name="blankline" localSheetId="13">#REF!</definedName>
    <definedName name="blankline" localSheetId="12">#REF!</definedName>
    <definedName name="blankline" localSheetId="11">#REF!</definedName>
    <definedName name="blankline">#REF!</definedName>
    <definedName name="BWIC" localSheetId="16">#REF!</definedName>
    <definedName name="BWIC" localSheetId="9">#REF!</definedName>
    <definedName name="BWIC" localSheetId="13">#REF!</definedName>
    <definedName name="BWIC" localSheetId="12">#REF!</definedName>
    <definedName name="BWIC" localSheetId="11">#REF!</definedName>
    <definedName name="BWIC">#REF!</definedName>
    <definedName name="catbm2">[4]Areas!$H$227</definedName>
    <definedName name="ceiling_finishes" localSheetId="16">#REF!</definedName>
    <definedName name="ceiling_finishes" localSheetId="9">#REF!</definedName>
    <definedName name="ceiling_finishes" localSheetId="13">#REF!</definedName>
    <definedName name="ceiling_finishes" localSheetId="12">#REF!</definedName>
    <definedName name="ceiling_finishes" localSheetId="11">#REF!</definedName>
    <definedName name="ceiling_finishes">#REF!</definedName>
    <definedName name="client" localSheetId="15">[5]Notes!$E$30</definedName>
    <definedName name="client" localSheetId="14">[6]Notes!$E$30</definedName>
    <definedName name="client" localSheetId="0">Notes!$E$30</definedName>
    <definedName name="client" localSheetId="13">[5]Notes!$E$30</definedName>
    <definedName name="client" localSheetId="12">[5]Notes!$E$30</definedName>
    <definedName name="client" localSheetId="11">[5]Notes!$E$30</definedName>
    <definedName name="client">#REF!</definedName>
    <definedName name="client2" localSheetId="0">Notes!$E$30</definedName>
    <definedName name="client2" localSheetId="13">#REF!</definedName>
    <definedName name="client2" localSheetId="12">#REF!</definedName>
    <definedName name="client2" localSheetId="11">#REF!</definedName>
    <definedName name="client2">#REF!</definedName>
    <definedName name="datareturns1" localSheetId="16">#REF!</definedName>
    <definedName name="datareturns1" localSheetId="9">#REF!</definedName>
    <definedName name="datareturns1" localSheetId="13">#REF!</definedName>
    <definedName name="datareturns1" localSheetId="12">#REF!</definedName>
    <definedName name="datareturns1" localSheetId="11">#REF!</definedName>
    <definedName name="datareturns1">#REF!</definedName>
    <definedName name="date" localSheetId="15">[5]Notes!$E$33</definedName>
    <definedName name="date" localSheetId="14">[6]Notes!$E$33</definedName>
    <definedName name="date" localSheetId="0">Notes!$E$33</definedName>
    <definedName name="date" localSheetId="13">[5]Notes!$E$33</definedName>
    <definedName name="date" localSheetId="12">[5]Notes!$E$33</definedName>
    <definedName name="date" localSheetId="11">[5]Notes!$E$33</definedName>
    <definedName name="date">#REF!</definedName>
    <definedName name="Demolitions" localSheetId="16">#REF!</definedName>
    <definedName name="Demolitions" localSheetId="9">#REF!</definedName>
    <definedName name="Demolitions" localSheetId="13">#REF!</definedName>
    <definedName name="Demolitions" localSheetId="12">#REF!</definedName>
    <definedName name="Demolitions" localSheetId="11">#REF!</definedName>
    <definedName name="Demolitions">#REF!</definedName>
    <definedName name="Disposal_Inst" localSheetId="16">#REF!</definedName>
    <definedName name="Disposal_Inst" localSheetId="9">#REF!</definedName>
    <definedName name="Disposal_Inst" localSheetId="13">#REF!</definedName>
    <definedName name="Disposal_Inst" localSheetId="12">#REF!</definedName>
    <definedName name="Disposal_Inst" localSheetId="11">#REF!</definedName>
    <definedName name="Disposal_Inst">#REF!</definedName>
    <definedName name="dummy" localSheetId="16">#REF!</definedName>
    <definedName name="dummy" localSheetId="9">#REF!</definedName>
    <definedName name="dummy" localSheetId="13">#REF!</definedName>
    <definedName name="dummy" localSheetId="12">#REF!</definedName>
    <definedName name="dummy" localSheetId="11">#REF!</definedName>
    <definedName name="dummy">#REF!</definedName>
    <definedName name="Electrical" localSheetId="16">#REF!</definedName>
    <definedName name="Electrical" localSheetId="9">#REF!</definedName>
    <definedName name="Electrical" localSheetId="13">#REF!</definedName>
    <definedName name="Electrical" localSheetId="12">#REF!</definedName>
    <definedName name="Electrical" localSheetId="11">#REF!</definedName>
    <definedName name="Electrical">#REF!</definedName>
    <definedName name="ExecSumfinal" localSheetId="16">'[7]1.0 Executive Summary'!#REF!</definedName>
    <definedName name="ExecSumfinal" localSheetId="9">'[7]1.0 Executive Summary'!#REF!</definedName>
    <definedName name="ExecSumfinal" localSheetId="13">'[7]1.0 Executive Summary'!#REF!</definedName>
    <definedName name="ExecSumfinal" localSheetId="12">'[7]1.0 Executive Summary'!#REF!</definedName>
    <definedName name="ExecSumfinal" localSheetId="11">'[7]1.0 Executive Summary'!#REF!</definedName>
    <definedName name="ExecSumfinal">'[7]1.0 Executive Summary'!#REF!</definedName>
    <definedName name="External_walls" localSheetId="16">#REF!</definedName>
    <definedName name="External_walls" localSheetId="9">#REF!</definedName>
    <definedName name="External_walls" localSheetId="13">#REF!</definedName>
    <definedName name="External_walls" localSheetId="12">#REF!</definedName>
    <definedName name="External_walls" localSheetId="11">#REF!</definedName>
    <definedName name="External_walls">#REF!</definedName>
    <definedName name="EXTRA1_2" localSheetId="16">[8]r1phb!#REF!</definedName>
    <definedName name="EXTRA1_2" localSheetId="9">[8]r1phb!#REF!</definedName>
    <definedName name="EXTRA1_2" localSheetId="13">[8]r1phb!#REF!</definedName>
    <definedName name="EXTRA1_2" localSheetId="12">[8]r1phb!#REF!</definedName>
    <definedName name="EXTRA1_2" localSheetId="11">[8]r1phb!#REF!</definedName>
    <definedName name="EXTRA1_2">[8]r1phb!#REF!</definedName>
    <definedName name="EXTRA2004_9_11_12" localSheetId="16">#REF!</definedName>
    <definedName name="EXTRA2004_9_11_12" localSheetId="9">#REF!</definedName>
    <definedName name="EXTRA2004_9_11_12" localSheetId="13">#REF!</definedName>
    <definedName name="EXTRA2004_9_11_12" localSheetId="12">#REF!</definedName>
    <definedName name="EXTRA2004_9_11_12" localSheetId="11">#REF!</definedName>
    <definedName name="EXTRA2004_9_11_12">#REF!</definedName>
    <definedName name="EXTRA3_4_5" localSheetId="16">[9]r1phb!#REF!</definedName>
    <definedName name="EXTRA3_4_5" localSheetId="9">[9]r1phb!#REF!</definedName>
    <definedName name="EXTRA3_4_5" localSheetId="13">[9]r1phb!#REF!</definedName>
    <definedName name="EXTRA3_4_5" localSheetId="12">[9]r1phb!#REF!</definedName>
    <definedName name="EXTRA3_4_5" localSheetId="11">[9]r1phb!#REF!</definedName>
    <definedName name="EXTRA3_4_5">[9]r1phb!#REF!</definedName>
    <definedName name="EXTRA6_7_8" localSheetId="16">[9]r1phb!#REF!</definedName>
    <definedName name="EXTRA6_7_8" localSheetId="9">[9]r1phb!#REF!</definedName>
    <definedName name="EXTRA6_7_8" localSheetId="13">[9]r1phb!#REF!</definedName>
    <definedName name="EXTRA6_7_8" localSheetId="12">[9]r1phb!#REF!</definedName>
    <definedName name="EXTRA6_7_8" localSheetId="11">[9]r1phb!#REF!</definedName>
    <definedName name="EXTRA6_7_8">[9]r1phb!#REF!</definedName>
    <definedName name="EXTRA9_11_12" localSheetId="16">[9]r1phb!#REF!</definedName>
    <definedName name="EXTRA9_11_12" localSheetId="9">[9]r1phb!#REF!</definedName>
    <definedName name="EXTRA9_11_12" localSheetId="13">[9]r1phb!#REF!</definedName>
    <definedName name="EXTRA9_11_12" localSheetId="12">[9]r1phb!#REF!</definedName>
    <definedName name="EXTRA9_11_12" localSheetId="11">[9]r1phb!#REF!</definedName>
    <definedName name="EXTRA9_11_12">[9]r1phb!#REF!</definedName>
    <definedName name="Fittings" localSheetId="16">#REF!</definedName>
    <definedName name="Fittings" localSheetId="9">#REF!</definedName>
    <definedName name="Fittings" localSheetId="13">#REF!</definedName>
    <definedName name="Fittings" localSheetId="12">#REF!</definedName>
    <definedName name="Fittings" localSheetId="11">#REF!</definedName>
    <definedName name="Fittings">#REF!</definedName>
    <definedName name="Floor_finishes" localSheetId="16">#REF!</definedName>
    <definedName name="Floor_finishes" localSheetId="9">#REF!</definedName>
    <definedName name="Floor_finishes" localSheetId="13">#REF!</definedName>
    <definedName name="Floor_finishes" localSheetId="12">#REF!</definedName>
    <definedName name="Floor_finishes" localSheetId="11">#REF!</definedName>
    <definedName name="Floor_finishes">#REF!</definedName>
    <definedName name="forecastfinal" localSheetId="16">#REF!</definedName>
    <definedName name="forecastfinal" localSheetId="9">#REF!</definedName>
    <definedName name="forecastfinal" localSheetId="13">#REF!</definedName>
    <definedName name="forecastfinal" localSheetId="12">#REF!</definedName>
    <definedName name="forecastfinal" localSheetId="11">#REF!</definedName>
    <definedName name="forecastfinal">#REF!</definedName>
    <definedName name="Frame" localSheetId="16">#REF!</definedName>
    <definedName name="Frame" localSheetId="9">#REF!</definedName>
    <definedName name="Frame" localSheetId="13">#REF!</definedName>
    <definedName name="Frame" localSheetId="12">#REF!</definedName>
    <definedName name="Frame" localSheetId="11">#REF!</definedName>
    <definedName name="Frame">#REF!</definedName>
    <definedName name="Gas_Inst" localSheetId="16">#REF!</definedName>
    <definedName name="Gas_Inst" localSheetId="9">#REF!</definedName>
    <definedName name="Gas_Inst" localSheetId="13">#REF!</definedName>
    <definedName name="Gas_Inst" localSheetId="12">#REF!</definedName>
    <definedName name="Gas_Inst" localSheetId="11">#REF!</definedName>
    <definedName name="Gas_Inst">#REF!</definedName>
    <definedName name="Heat_source" localSheetId="16">#REF!</definedName>
    <definedName name="Heat_source" localSheetId="9">#REF!</definedName>
    <definedName name="Heat_source" localSheetId="13">#REF!</definedName>
    <definedName name="Heat_source" localSheetId="12">#REF!</definedName>
    <definedName name="Heat_source" localSheetId="11">#REF!</definedName>
    <definedName name="Heat_source">#REF!</definedName>
    <definedName name="home" localSheetId="16">#REF!</definedName>
    <definedName name="home" localSheetId="9">#REF!</definedName>
    <definedName name="home" localSheetId="13">#REF!</definedName>
    <definedName name="home" localSheetId="12">#REF!</definedName>
    <definedName name="home" localSheetId="11">#REF!</definedName>
    <definedName name="home">#REF!</definedName>
    <definedName name="Int_doors" localSheetId="16">#REF!</definedName>
    <definedName name="Int_doors" localSheetId="9">#REF!</definedName>
    <definedName name="Int_doors" localSheetId="13">#REF!</definedName>
    <definedName name="Int_doors" localSheetId="12">#REF!</definedName>
    <definedName name="Int_doors" localSheetId="11">#REF!</definedName>
    <definedName name="Int_doors">#REF!</definedName>
    <definedName name="Internal_walls" localSheetId="16">#REF!</definedName>
    <definedName name="Internal_walls" localSheetId="9">#REF!</definedName>
    <definedName name="Internal_walls" localSheetId="13">#REF!</definedName>
    <definedName name="Internal_walls" localSheetId="12">#REF!</definedName>
    <definedName name="Internal_walls" localSheetId="11">#REF!</definedName>
    <definedName name="Internal_walls">#REF!</definedName>
    <definedName name="MAIN1_2" localSheetId="16">[8]r1phb!#REF!</definedName>
    <definedName name="MAIN1_2" localSheetId="9">[8]r1phb!#REF!</definedName>
    <definedName name="MAIN1_2" localSheetId="13">[8]r1phb!#REF!</definedName>
    <definedName name="MAIN1_2" localSheetId="12">[8]r1phb!#REF!</definedName>
    <definedName name="MAIN1_2" localSheetId="11">[8]r1phb!#REF!</definedName>
    <definedName name="MAIN1_2">[8]r1phb!#REF!</definedName>
    <definedName name="MAIN2004_9_11_12" localSheetId="16">#REF!</definedName>
    <definedName name="MAIN2004_9_11_12" localSheetId="9">#REF!</definedName>
    <definedName name="MAIN2004_9_11_12" localSheetId="13">#REF!</definedName>
    <definedName name="MAIN2004_9_11_12" localSheetId="12">#REF!</definedName>
    <definedName name="MAIN2004_9_11_12" localSheetId="11">#REF!</definedName>
    <definedName name="MAIN2004_9_11_12">#REF!</definedName>
    <definedName name="MAIN3_4_5" localSheetId="16">[9]r1phb!#REF!</definedName>
    <definedName name="MAIN3_4_5" localSheetId="9">[9]r1phb!#REF!</definedName>
    <definedName name="MAIN3_4_5" localSheetId="13">[9]r1phb!#REF!</definedName>
    <definedName name="MAIN3_4_5" localSheetId="12">[9]r1phb!#REF!</definedName>
    <definedName name="MAIN3_4_5" localSheetId="11">[9]r1phb!#REF!</definedName>
    <definedName name="MAIN3_4_5">[9]r1phb!#REF!</definedName>
    <definedName name="MAIN6_7_8" localSheetId="16">[9]r1phb!#REF!</definedName>
    <definedName name="MAIN6_7_8" localSheetId="9">[9]r1phb!#REF!</definedName>
    <definedName name="MAIN6_7_8" localSheetId="13">[9]r1phb!#REF!</definedName>
    <definedName name="MAIN6_7_8" localSheetId="12">[9]r1phb!#REF!</definedName>
    <definedName name="MAIN6_7_8" localSheetId="11">[9]r1phb!#REF!</definedName>
    <definedName name="MAIN6_7_8">[9]r1phb!#REF!</definedName>
    <definedName name="MAIN9_11_12" localSheetId="16">[9]r1phb!#REF!</definedName>
    <definedName name="MAIN9_11_12" localSheetId="9">[9]r1phb!#REF!</definedName>
    <definedName name="MAIN9_11_12" localSheetId="13">[9]r1phb!#REF!</definedName>
    <definedName name="MAIN9_11_12" localSheetId="12">[9]r1phb!#REF!</definedName>
    <definedName name="MAIN9_11_12" localSheetId="11">[9]r1phb!#REF!</definedName>
    <definedName name="MAIN9_11_12">[9]r1phb!#REF!</definedName>
    <definedName name="maxmonth" localSheetId="16">OFFSET('[2]6.0 Cash Flow'!#REF!,0,0,MATCH('[2]6.0 Cash Flow'!#REF!,'[2]6.0 Cash Flow'!$B$4:$B$6,0),1)</definedName>
    <definedName name="maxmonth" localSheetId="9">OFFSET('[2]6.0 Cash Flow'!#REF!,0,0,MATCH('[2]6.0 Cash Flow'!#REF!,'[2]6.0 Cash Flow'!$B$4:$B$6,0),1)</definedName>
    <definedName name="maxmonth" localSheetId="13">OFFSET('[2]6.0 Cash Flow'!#REF!,0,0,MATCH('[2]6.0 Cash Flow'!#REF!,'[2]6.0 Cash Flow'!$B$4:$B$6,0),1)</definedName>
    <definedName name="maxmonth" localSheetId="12">OFFSET('[2]6.0 Cash Flow'!#REF!,0,0,MATCH('[2]6.0 Cash Flow'!#REF!,'[2]6.0 Cash Flow'!$B$4:$B$6,0),1)</definedName>
    <definedName name="maxmonth" localSheetId="11">OFFSET('[2]6.0 Cash Flow'!#REF!,0,0,MATCH('[2]6.0 Cash Flow'!#REF!,'[2]6.0 Cash Flow'!$B$4:$B$6,0),1)</definedName>
    <definedName name="maxmonth">OFFSET('[2]6.0 Cash Flow'!#REF!,0,0,MATCH('[2]6.0 Cash Flow'!#REF!,'[2]6.0 Cash Flow'!$B$4:$B$6,0),1)</definedName>
    <definedName name="month1" localSheetId="16">OFFSET('[2]6.0 Cash Flow'!#REF!,0,0,COUNTA('[2]6.0 Cash Flow'!$B$1:$B$65536),1)</definedName>
    <definedName name="month1" localSheetId="9">OFFSET('[2]6.0 Cash Flow'!#REF!,0,0,COUNTA('[2]6.0 Cash Flow'!$B$1:$B$65536),1)</definedName>
    <definedName name="month1" localSheetId="13">OFFSET('[2]6.0 Cash Flow'!#REF!,0,0,COUNTA('[2]6.0 Cash Flow'!$B$1:$B$65536),1)</definedName>
    <definedName name="month1" localSheetId="12">OFFSET('[2]6.0 Cash Flow'!#REF!,0,0,COUNTA('[2]6.0 Cash Flow'!$B$1:$B$65536),1)</definedName>
    <definedName name="month1" localSheetId="11">OFFSET('[2]6.0 Cash Flow'!#REF!,0,0,COUNTA('[2]6.0 Cash Flow'!$B$1:$B$65536),1)</definedName>
    <definedName name="month1">OFFSET('[2]6.0 Cash Flow'!#REF!,0,0,COUNTA('[2]6.0 Cash Flow'!$B$1:$B$65536),1)</definedName>
    <definedName name="OHP">[10]Notes!$E$60</definedName>
    <definedName name="PCforecastfinal" localSheetId="16">#REF!</definedName>
    <definedName name="PCforecastfinal" localSheetId="9">#REF!</definedName>
    <definedName name="PCforecastfinal" localSheetId="13">#REF!</definedName>
    <definedName name="PCforecastfinal" localSheetId="12">#REF!</definedName>
    <definedName name="PCforecastfinal" localSheetId="11">#REF!</definedName>
    <definedName name="PCforecastfinal">#REF!</definedName>
    <definedName name="_xlnm.Print_Area" localSheetId="15">'(template)'!$A$1:$K$132</definedName>
    <definedName name="_xlnm.Print_Area" localSheetId="1">'2.0 Cost Plan (Model) Summary'!$A$1:$H$35</definedName>
    <definedName name="_xlnm.Print_Area" localSheetId="2">'2.0 Option 1'!$A$1</definedName>
    <definedName name="_xlnm.Print_Area" localSheetId="16">'5.0 '!$A$1:$G$146</definedName>
    <definedName name="_xlnm.Print_Area" localSheetId="3">'5.0 Benchmarking Analysis 2'!$A$1:$AA$35</definedName>
    <definedName name="_xlnm.Print_Area" localSheetId="4">'5.0 Benchmarking Analysis 3'!$A$1:$J$35</definedName>
    <definedName name="_xlnm.Print_Area" localSheetId="5">'7.0 Risks and Opportunities'!$A$1:$E$35</definedName>
    <definedName name="_xlnm.Print_Area" localSheetId="6">'8.0 Outline Specification'!$A$1:$D$34</definedName>
    <definedName name="_xlnm.Print_Area" localSheetId="7">'9.0 Schedule of Floor Areas'!$A$1:$N$101</definedName>
    <definedName name="_xlnm.Print_Area" localSheetId="9">'Appendix A'!$A$1:$K$35</definedName>
    <definedName name="_xlnm.Print_Area" localSheetId="14">'Breakdown by Area'!$A$1:$L$136</definedName>
    <definedName name="_xlnm.Print_Area" localSheetId="8">'Cash Flow'!$A$1:$N$37</definedName>
    <definedName name="_xlnm.Print_Area" localSheetId="17">Flysheets!$A$1:$M$27</definedName>
    <definedName name="_xlnm.Print_Area" localSheetId="18">'Form of Tender Page 1'!$A$1:$I$52</definedName>
    <definedName name="_xlnm.Print_Area" localSheetId="19">'Form of Tender Page 2'!$A$1:$I$46</definedName>
    <definedName name="_xlnm.Print_Area" localSheetId="13">'Option 4d'!$A$1:$J$215</definedName>
    <definedName name="_xlnm.Print_Area" localSheetId="10">'Part A Submission Statements'!$A$1:$C$23</definedName>
    <definedName name="_xlnm.Print_Area" localSheetId="12">'Payment Milestones'!$A$1:$H$21</definedName>
    <definedName name="_xlnm.Print_Area" localSheetId="11">'Pricing Schedule'!$A$1:$J$33</definedName>
    <definedName name="_xlnm.Print_Titles" localSheetId="15">'(template)'!$1:$8</definedName>
    <definedName name="_xlnm.Print_Titles" localSheetId="2">'2.0 Option 1'!$1:$5</definedName>
    <definedName name="_xlnm.Print_Titles" localSheetId="16">'5.0 '!$1:$7</definedName>
    <definedName name="_xlnm.Print_Titles" localSheetId="14">'Breakdown by Area'!$A:$A,'Breakdown by Area'!$1:$9</definedName>
    <definedName name="_xlnm.Print_Titles" localSheetId="13">'Option 4d'!$1:$8</definedName>
    <definedName name="_xlnm.Print_Titles" localSheetId="12">'Payment Milestones'!$1:$5</definedName>
    <definedName name="_xlnm.Print_Titles" localSheetId="11">'Pricing Schedule'!$1:$7</definedName>
    <definedName name="projcum" localSheetId="15">'[5]Cash Flow'!$E$7:$E$36</definedName>
    <definedName name="projcum" localSheetId="13">'[5]Cash Flow'!$E$7:$E$36</definedName>
    <definedName name="projcum" localSheetId="12">'[5]Cash Flow'!$E$7:$E$36</definedName>
    <definedName name="projcum" localSheetId="11">'[5]Cash Flow'!$E$7:$E$36</definedName>
    <definedName name="projcum">'Cash Flow'!$E$7:$E$36</definedName>
    <definedName name="projcum1" localSheetId="16">OFFSET('[2]6.0 Cash Flow'!#REF!,0,0,COUNTA('[2]6.0 Cash Flow'!$C$1:$C$65536),1)</definedName>
    <definedName name="projcum1" localSheetId="9">OFFSET('[2]6.0 Cash Flow'!#REF!,0,0,COUNTA('[2]6.0 Cash Flow'!$C$1:$C$65536),1)</definedName>
    <definedName name="projcum1" localSheetId="13">OFFSET('[2]6.0 Cash Flow'!#REF!,0,0,COUNTA('[2]6.0 Cash Flow'!$C$1:$C$65536),1)</definedName>
    <definedName name="projcum1" localSheetId="12">OFFSET('[2]6.0 Cash Flow'!#REF!,0,0,COUNTA('[2]6.0 Cash Flow'!$C$1:$C$65536),1)</definedName>
    <definedName name="projcum1" localSheetId="11">OFFSET('[2]6.0 Cash Flow'!#REF!,0,0,COUNTA('[2]6.0 Cash Flow'!$C$1:$C$65536),1)</definedName>
    <definedName name="projcum1">OFFSET('[2]6.0 Cash Flow'!#REF!,0,0,COUNTA('[2]6.0 Cash Flow'!$C$1:$C$65536),1)</definedName>
    <definedName name="project" localSheetId="15">[5]Notes!$E$31</definedName>
    <definedName name="project" localSheetId="14">[6]Notes!$E$31</definedName>
    <definedName name="project" localSheetId="0">Notes!$E$31</definedName>
    <definedName name="project" localSheetId="13">[5]Notes!$E$31</definedName>
    <definedName name="project" localSheetId="12">[5]Notes!$E$31</definedName>
    <definedName name="project" localSheetId="11">[5]Notes!$E$31</definedName>
    <definedName name="project">#REF!</definedName>
    <definedName name="project2" localSheetId="0">Notes!$E$31</definedName>
    <definedName name="project2" localSheetId="13">#REF!</definedName>
    <definedName name="project2" localSheetId="12">#REF!</definedName>
    <definedName name="project2" localSheetId="11">#REF!</definedName>
    <definedName name="project2">#REF!</definedName>
    <definedName name="projmonthly" localSheetId="15">'[5]Cash Flow'!$D$7:$D$36</definedName>
    <definedName name="projmonthly" localSheetId="13">'[5]Cash Flow'!$D$7:$D$36</definedName>
    <definedName name="projmonthly" localSheetId="12">'[5]Cash Flow'!$D$7:$D$36</definedName>
    <definedName name="projmonthly" localSheetId="11">'[5]Cash Flow'!$D$7:$D$36</definedName>
    <definedName name="projmonthly">'Cash Flow'!$D$7:$D$36</definedName>
    <definedName name="projmonthly1" localSheetId="16">OFFSET('[2]6.0 Cash Flow'!#REF!,0,0,COUNTA('[2]6.0 Cash Flow'!#REF!),1)</definedName>
    <definedName name="projmonthly1" localSheetId="9">OFFSET('[2]6.0 Cash Flow'!#REF!,0,0,COUNTA('[2]6.0 Cash Flow'!#REF!),1)</definedName>
    <definedName name="projmonthly1" localSheetId="13">OFFSET('[2]6.0 Cash Flow'!#REF!,0,0,COUNTA('[2]6.0 Cash Flow'!#REF!),1)</definedName>
    <definedName name="projmonthly1" localSheetId="12">OFFSET('[2]6.0 Cash Flow'!#REF!,0,0,COUNTA('[2]6.0 Cash Flow'!#REF!),1)</definedName>
    <definedName name="projmonthly1" localSheetId="11">OFFSET('[2]6.0 Cash Flow'!#REF!,0,0,COUNTA('[2]6.0 Cash Flow'!#REF!),1)</definedName>
    <definedName name="projmonthly1">OFFSET('[2]6.0 Cash Flow'!#REF!,0,0,COUNTA('[2]6.0 Cash Flow'!#REF!),1)</definedName>
    <definedName name="projmonthmax" localSheetId="15">OFFSET('[5]Cash Flow'!$C$7,0,0,MATCH('[5]Cash Flow'!$J$4,'[5]Cash Flow'!$C$7:$C$37,0),1)</definedName>
    <definedName name="projmonthmax" localSheetId="14">OFFSET('[6]Cash Flow'!$C$7,0,0,MATCH('[6]Cash Flow'!$J$4,'[6]Cash Flow'!$C$7:$C$37,0),1)</definedName>
    <definedName name="projmonthmax" localSheetId="0">OFFSET('[11]Cash Flow'!$C$7,0,0,MATCH('[11]Cash Flow'!$J$4,'[11]Cash Flow'!$C$7:$C$37,0),1)</definedName>
    <definedName name="projmonthmax" localSheetId="13">OFFSET('[5]Cash Flow'!$C$7,0,0,MATCH('[5]Cash Flow'!$J$4,'[5]Cash Flow'!$C$7:$C$37,0),1)</definedName>
    <definedName name="projmonthmax" localSheetId="12">OFFSET('[5]Cash Flow'!$C$7,0,0,MATCH('[5]Cash Flow'!$J$4,'[5]Cash Flow'!$C$7:$C$37,0),1)</definedName>
    <definedName name="projmonthmax" localSheetId="11">OFFSET('[5]Cash Flow'!$C$7,0,0,MATCH('[5]Cash Flow'!$J$4,'[5]Cash Flow'!$C$7:$C$37,0),1)</definedName>
    <definedName name="projmonthmax">OFFSET('Cash Flow'!$C$7,0,0,MATCH('Cash Flow'!$J$4,'Cash Flow'!$C$7:$C$37,0),1)</definedName>
    <definedName name="projmonthmax1" localSheetId="16">OFFSET(#REF!,0,0,MATCH(#REF!,#REF!,0),1)</definedName>
    <definedName name="projmonthmax1" localSheetId="9">OFFSET(#REF!,0,0,MATCH(#REF!,#REF!,0),1)</definedName>
    <definedName name="projmonthmax1" localSheetId="13">OFFSET(#REF!,0,0,MATCH(#REF!,#REF!,0),1)</definedName>
    <definedName name="projmonthmax1" localSheetId="12">OFFSET(#REF!,0,0,MATCH(#REF!,#REF!,0),1)</definedName>
    <definedName name="projmonthmax1" localSheetId="11">OFFSET(#REF!,0,0,MATCH(#REF!,#REF!,0),1)</definedName>
    <definedName name="projmonthmax1">OFFSET(#REF!,0,0,MATCH(#REF!,#REF!,0),1)</definedName>
    <definedName name="Protective_inst" localSheetId="16">#REF!</definedName>
    <definedName name="Protective_inst" localSheetId="9">#REF!</definedName>
    <definedName name="Protective_inst" localSheetId="13">#REF!</definedName>
    <definedName name="Protective_inst" localSheetId="12">#REF!</definedName>
    <definedName name="Protective_inst" localSheetId="11">#REF!</definedName>
    <definedName name="Protective_inst">#REF!</definedName>
    <definedName name="Provforecastfinal" localSheetId="16">#REF!</definedName>
    <definedName name="Provforecastfinal" localSheetId="9">#REF!</definedName>
    <definedName name="Provforecastfinal" localSheetId="13">#REF!</definedName>
    <definedName name="Provforecastfinal" localSheetId="12">#REF!</definedName>
    <definedName name="Provforecastfinal" localSheetId="11">#REF!</definedName>
    <definedName name="Provforecastfinal">#REF!</definedName>
    <definedName name="q" localSheetId="16">#REF!</definedName>
    <definedName name="q" localSheetId="9">#REF!</definedName>
    <definedName name="q" localSheetId="13">#REF!</definedName>
    <definedName name="q" localSheetId="12">#REF!</definedName>
    <definedName name="q" localSheetId="11">#REF!</definedName>
    <definedName name="q">#REF!</definedName>
    <definedName name="report" localSheetId="15">[5]Notes!$E$34</definedName>
    <definedName name="report" localSheetId="14">[6]Notes!$E$34</definedName>
    <definedName name="report" localSheetId="0">Notes!$E$34</definedName>
    <definedName name="report" localSheetId="13">[5]Notes!$E$34</definedName>
    <definedName name="report" localSheetId="12">[5]Notes!$E$34</definedName>
    <definedName name="report" localSheetId="11">[5]Notes!$E$34</definedName>
    <definedName name="report">#REF!</definedName>
    <definedName name="reportno" localSheetId="15">[5]Notes!$E$32</definedName>
    <definedName name="reportno" localSheetId="14">[6]Notes!$E$32</definedName>
    <definedName name="reportno" localSheetId="0">Notes!$E$32</definedName>
    <definedName name="reportno" localSheetId="13">[5]Notes!$E$32</definedName>
    <definedName name="reportno" localSheetId="12">[5]Notes!$E$32</definedName>
    <definedName name="reportno" localSheetId="11">[5]Notes!$E$32</definedName>
    <definedName name="reportno">#REF!</definedName>
    <definedName name="reporttype">[10]Notes!$E$54</definedName>
    <definedName name="revision">[10]Notes!$C$57</definedName>
    <definedName name="roof" localSheetId="16">#REF!</definedName>
    <definedName name="roof" localSheetId="9">#REF!</definedName>
    <definedName name="roof" localSheetId="13">#REF!</definedName>
    <definedName name="roof" localSheetId="12">#REF!</definedName>
    <definedName name="roof" localSheetId="11">#REF!</definedName>
    <definedName name="roof">#REF!</definedName>
    <definedName name="Sanitary_Appl" localSheetId="16">#REF!</definedName>
    <definedName name="Sanitary_Appl" localSheetId="9">#REF!</definedName>
    <definedName name="Sanitary_Appl" localSheetId="13">#REF!</definedName>
    <definedName name="Sanitary_Appl" localSheetId="12">#REF!</definedName>
    <definedName name="Sanitary_Appl" localSheetId="11">#REF!</definedName>
    <definedName name="Sanitary_Appl">#REF!</definedName>
    <definedName name="Services_Equip" localSheetId="16">#REF!</definedName>
    <definedName name="Services_Equip" localSheetId="9">#REF!</definedName>
    <definedName name="Services_Equip" localSheetId="13">#REF!</definedName>
    <definedName name="Services_Equip" localSheetId="12">#REF!</definedName>
    <definedName name="Services_Equip" localSheetId="11">#REF!</definedName>
    <definedName name="Services_Equip">#REF!</definedName>
    <definedName name="shading" localSheetId="16">#REF!</definedName>
    <definedName name="shading" localSheetId="9">#REF!</definedName>
    <definedName name="shading" localSheetId="13">#REF!</definedName>
    <definedName name="shading" localSheetId="12">#REF!</definedName>
    <definedName name="shading" localSheetId="11">#REF!</definedName>
    <definedName name="shading">#REF!</definedName>
    <definedName name="siteworks">[12]Collection!$O$9</definedName>
    <definedName name="Space_Heat" localSheetId="16">#REF!</definedName>
    <definedName name="Space_Heat" localSheetId="9">#REF!</definedName>
    <definedName name="Space_Heat" localSheetId="13">#REF!</definedName>
    <definedName name="Space_Heat" localSheetId="12">#REF!</definedName>
    <definedName name="Space_Heat" localSheetId="11">#REF!</definedName>
    <definedName name="Space_Heat">#REF!</definedName>
    <definedName name="Special_Inst" localSheetId="16">#REF!</definedName>
    <definedName name="Special_Inst" localSheetId="9">#REF!</definedName>
    <definedName name="Special_Inst" localSheetId="13">#REF!</definedName>
    <definedName name="Special_Inst" localSheetId="12">#REF!</definedName>
    <definedName name="Special_Inst" localSheetId="11">#REF!</definedName>
    <definedName name="Special_Inst">#REF!</definedName>
    <definedName name="stairs" localSheetId="16">#REF!</definedName>
    <definedName name="stairs" localSheetId="9">#REF!</definedName>
    <definedName name="stairs" localSheetId="13">#REF!</definedName>
    <definedName name="stairs" localSheetId="12">#REF!</definedName>
    <definedName name="stairs" localSheetId="11">#REF!</definedName>
    <definedName name="stairs">#REF!</definedName>
    <definedName name="substructure" localSheetId="16">#REF!</definedName>
    <definedName name="substructure" localSheetId="9">#REF!</definedName>
    <definedName name="substructure" localSheetId="13">#REF!</definedName>
    <definedName name="substructure" localSheetId="12">#REF!</definedName>
    <definedName name="substructure" localSheetId="11">#REF!</definedName>
    <definedName name="substructure">#REF!</definedName>
    <definedName name="summary" localSheetId="16">#REF!</definedName>
    <definedName name="summary" localSheetId="9">#REF!</definedName>
    <definedName name="summary" localSheetId="13">#REF!</definedName>
    <definedName name="summary" localSheetId="12">#REF!</definedName>
    <definedName name="summary" localSheetId="11">#REF!</definedName>
    <definedName name="summary">#REF!</definedName>
    <definedName name="summary1" localSheetId="16">#REF!</definedName>
    <definedName name="summary1" localSheetId="9">#REF!</definedName>
    <definedName name="summary1" localSheetId="13">#REF!</definedName>
    <definedName name="summary1" localSheetId="12">#REF!</definedName>
    <definedName name="summary1" localSheetId="11">#REF!</definedName>
    <definedName name="summary1">#REF!</definedName>
    <definedName name="summaryhead" localSheetId="16">#REF!</definedName>
    <definedName name="summaryhead" localSheetId="9">#REF!</definedName>
    <definedName name="summaryhead" localSheetId="13">#REF!</definedName>
    <definedName name="summaryhead" localSheetId="12">#REF!</definedName>
    <definedName name="summaryhead" localSheetId="11">#REF!</definedName>
    <definedName name="summaryhead">#REF!</definedName>
    <definedName name="Tom">[13]Notes!$E$30</definedName>
    <definedName name="Tomp">[13]Notes!$E$33</definedName>
    <definedName name="totalm2">[4]Areas!$I$2</definedName>
    <definedName name="Upper_floors" localSheetId="16">#REF!</definedName>
    <definedName name="Upper_floors" localSheetId="9">#REF!</definedName>
    <definedName name="Upper_floors" localSheetId="13">#REF!</definedName>
    <definedName name="Upper_floors" localSheetId="12">#REF!</definedName>
    <definedName name="Upper_floors" localSheetId="11">#REF!</definedName>
    <definedName name="Upper_floors">#REF!</definedName>
    <definedName name="Vent_Inst" localSheetId="16">#REF!</definedName>
    <definedName name="Vent_Inst" localSheetId="9">#REF!</definedName>
    <definedName name="Vent_Inst" localSheetId="13">#REF!</definedName>
    <definedName name="Vent_Inst" localSheetId="12">#REF!</definedName>
    <definedName name="Vent_Inst" localSheetId="11">#REF!</definedName>
    <definedName name="Vent_Inst">#REF!</definedName>
    <definedName name="Wall_finishes" localSheetId="16">#REF!</definedName>
    <definedName name="Wall_finishes" localSheetId="9">#REF!</definedName>
    <definedName name="Wall_finishes" localSheetId="13">#REF!</definedName>
    <definedName name="Wall_finishes" localSheetId="12">#REF!</definedName>
    <definedName name="Wall_finishes" localSheetId="11">#REF!</definedName>
    <definedName name="Wall_finishes">#REF!</definedName>
    <definedName name="Water_Inst" localSheetId="16">#REF!</definedName>
    <definedName name="Water_Inst" localSheetId="9">#REF!</definedName>
    <definedName name="Water_Inst" localSheetId="13">#REF!</definedName>
    <definedName name="Water_Inst" localSheetId="12">#REF!</definedName>
    <definedName name="Water_Inst" localSheetId="11">#REF!</definedName>
    <definedName name="Water_Inst">#REF!</definedName>
    <definedName name="Windows_ext_doors" localSheetId="16">#REF!</definedName>
    <definedName name="Windows_ext_doors" localSheetId="9">#REF!</definedName>
    <definedName name="Windows_ext_doors" localSheetId="13">#REF!</definedName>
    <definedName name="Windows_ext_doors" localSheetId="12">#REF!</definedName>
    <definedName name="Windows_ext_doors" localSheetId="11">#REF!</definedName>
    <definedName name="Windows_ext_doors">#REF!</definedName>
    <definedName name="Z_2B0692CF_4177_422C_A620_ABA6158FDE4D_.wvu.Cols" localSheetId="15" hidden="1">'(template)'!$I:$J</definedName>
    <definedName name="Z_2B0692CF_4177_422C_A620_ABA6158FDE4D_.wvu.Cols" localSheetId="14" hidden="1">'Breakdown by Area'!$H:$J</definedName>
    <definedName name="Z_2B0692CF_4177_422C_A620_ABA6158FDE4D_.wvu.Cols" localSheetId="13" hidden="1">'Option 4d'!$H:$I</definedName>
    <definedName name="Z_2B0692CF_4177_422C_A620_ABA6158FDE4D_.wvu.Cols" localSheetId="12" hidden="1">'Payment Milestones'!$E:$F</definedName>
    <definedName name="Z_2B0692CF_4177_422C_A620_ABA6158FDE4D_.wvu.Cols" localSheetId="11" hidden="1">'Pricing Schedule'!$H:$I</definedName>
    <definedName name="Z_2B0692CF_4177_422C_A620_ABA6158FDE4D_.wvu.PrintArea" localSheetId="15" hidden="1">'(template)'!$A$1:$K$132</definedName>
    <definedName name="Z_2B0692CF_4177_422C_A620_ABA6158FDE4D_.wvu.PrintArea" localSheetId="1" hidden="1">'2.0 Cost Plan (Model) Summary'!$A$1:$H$35</definedName>
    <definedName name="Z_2B0692CF_4177_422C_A620_ABA6158FDE4D_.wvu.PrintArea" localSheetId="2" hidden="1">'2.0 Option 1'!$A$1</definedName>
    <definedName name="Z_2B0692CF_4177_422C_A620_ABA6158FDE4D_.wvu.PrintArea" localSheetId="16" hidden="1">'5.0 '!$A$1:$G$146</definedName>
    <definedName name="Z_2B0692CF_4177_422C_A620_ABA6158FDE4D_.wvu.PrintArea" localSheetId="3" hidden="1">'5.0 Benchmarking Analysis 2'!$A$1:$AA$35</definedName>
    <definedName name="Z_2B0692CF_4177_422C_A620_ABA6158FDE4D_.wvu.PrintArea" localSheetId="4" hidden="1">'5.0 Benchmarking Analysis 3'!$A$1:$J$35</definedName>
    <definedName name="Z_2B0692CF_4177_422C_A620_ABA6158FDE4D_.wvu.PrintArea" localSheetId="5" hidden="1">'7.0 Risks and Opportunities'!$A$1:$E$35</definedName>
    <definedName name="Z_2B0692CF_4177_422C_A620_ABA6158FDE4D_.wvu.PrintArea" localSheetId="6" hidden="1">'8.0 Outline Specification'!$A$1:$D$34</definedName>
    <definedName name="Z_2B0692CF_4177_422C_A620_ABA6158FDE4D_.wvu.PrintArea" localSheetId="7" hidden="1">'9.0 Schedule of Floor Areas'!$A$1:$N$101</definedName>
    <definedName name="Z_2B0692CF_4177_422C_A620_ABA6158FDE4D_.wvu.PrintArea" localSheetId="9" hidden="1">'Appendix A'!$A$1:$K$35</definedName>
    <definedName name="Z_2B0692CF_4177_422C_A620_ABA6158FDE4D_.wvu.PrintArea" localSheetId="14" hidden="1">'Breakdown by Area'!$A$1:$L$136</definedName>
    <definedName name="Z_2B0692CF_4177_422C_A620_ABA6158FDE4D_.wvu.PrintArea" localSheetId="8" hidden="1">'Cash Flow'!$A$1:$N$37</definedName>
    <definedName name="Z_2B0692CF_4177_422C_A620_ABA6158FDE4D_.wvu.PrintArea" localSheetId="17" hidden="1">Flysheets!$A$1:$M$27</definedName>
    <definedName name="Z_2B0692CF_4177_422C_A620_ABA6158FDE4D_.wvu.PrintArea" localSheetId="13" hidden="1">'Option 4d'!$A$1:$J$215</definedName>
    <definedName name="Z_2B0692CF_4177_422C_A620_ABA6158FDE4D_.wvu.PrintArea" localSheetId="12" hidden="1">'Payment Milestones'!$A$1:$H$21</definedName>
    <definedName name="Z_2B0692CF_4177_422C_A620_ABA6158FDE4D_.wvu.PrintArea" localSheetId="11" hidden="1">'Pricing Schedule'!$A$1:$J$33</definedName>
    <definedName name="Z_2B0692CF_4177_422C_A620_ABA6158FDE4D_.wvu.PrintTitles" localSheetId="15" hidden="1">'(template)'!$1:$8</definedName>
    <definedName name="Z_2B0692CF_4177_422C_A620_ABA6158FDE4D_.wvu.PrintTitles" localSheetId="2" hidden="1">'2.0 Option 1'!$1:$5</definedName>
    <definedName name="Z_2B0692CF_4177_422C_A620_ABA6158FDE4D_.wvu.PrintTitles" localSheetId="16" hidden="1">'5.0 '!$1:$7</definedName>
    <definedName name="Z_2B0692CF_4177_422C_A620_ABA6158FDE4D_.wvu.PrintTitles" localSheetId="14" hidden="1">'Breakdown by Area'!$A:$A,'Breakdown by Area'!$1:$9</definedName>
    <definedName name="Z_2B0692CF_4177_422C_A620_ABA6158FDE4D_.wvu.PrintTitles" localSheetId="13" hidden="1">'Option 4d'!$1:$8</definedName>
    <definedName name="Z_2B0692CF_4177_422C_A620_ABA6158FDE4D_.wvu.PrintTitles" localSheetId="12" hidden="1">'Payment Milestones'!$1:$5</definedName>
    <definedName name="Z_2B0692CF_4177_422C_A620_ABA6158FDE4D_.wvu.PrintTitles" localSheetId="11" hidden="1">'Pricing Schedule'!$1:$7</definedName>
    <definedName name="Z_2B0692CF_4177_422C_A620_ABA6158FDE4D_.wvu.Rows" localSheetId="12" hidden="1">'Payment Milestones'!#REF!</definedName>
    <definedName name="Z_2B0692CF_4177_422C_A620_ABA6158FDE4D_.wvu.Rows" localSheetId="11" hidden="1">'Pricing Schedule'!#REF!</definedName>
    <definedName name="Z_6C33A4D3_AF33_443C_A522_C1A990C51A36_.wvu.Cols" localSheetId="15" hidden="1">'(template)'!$I:$J</definedName>
    <definedName name="Z_6C33A4D3_AF33_443C_A522_C1A990C51A36_.wvu.Cols" localSheetId="14" hidden="1">'Breakdown by Area'!$H:$J</definedName>
    <definedName name="Z_6C33A4D3_AF33_443C_A522_C1A990C51A36_.wvu.Cols" localSheetId="13" hidden="1">'Option 4d'!$H:$I</definedName>
    <definedName name="Z_6C33A4D3_AF33_443C_A522_C1A990C51A36_.wvu.Cols" localSheetId="12" hidden="1">'Payment Milestones'!$E:$F</definedName>
    <definedName name="Z_6C33A4D3_AF33_443C_A522_C1A990C51A36_.wvu.Cols" localSheetId="11" hidden="1">'Pricing Schedule'!$H:$I</definedName>
    <definedName name="Z_6C33A4D3_AF33_443C_A522_C1A990C51A36_.wvu.PrintArea" localSheetId="15" hidden="1">'(template)'!$A$1:$K$132</definedName>
    <definedName name="Z_6C33A4D3_AF33_443C_A522_C1A990C51A36_.wvu.PrintArea" localSheetId="1" hidden="1">'2.0 Cost Plan (Model) Summary'!$A$1:$H$35</definedName>
    <definedName name="Z_6C33A4D3_AF33_443C_A522_C1A990C51A36_.wvu.PrintArea" localSheetId="2" hidden="1">'2.0 Option 1'!$A$1</definedName>
    <definedName name="Z_6C33A4D3_AF33_443C_A522_C1A990C51A36_.wvu.PrintArea" localSheetId="16" hidden="1">'5.0 '!$A$1:$G$146</definedName>
    <definedName name="Z_6C33A4D3_AF33_443C_A522_C1A990C51A36_.wvu.PrintArea" localSheetId="3" hidden="1">'5.0 Benchmarking Analysis 2'!$A$1:$AA$35</definedName>
    <definedName name="Z_6C33A4D3_AF33_443C_A522_C1A990C51A36_.wvu.PrintArea" localSheetId="4" hidden="1">'5.0 Benchmarking Analysis 3'!$A$1:$J$35</definedName>
    <definedName name="Z_6C33A4D3_AF33_443C_A522_C1A990C51A36_.wvu.PrintArea" localSheetId="5" hidden="1">'7.0 Risks and Opportunities'!$A$1:$E$35</definedName>
    <definedName name="Z_6C33A4D3_AF33_443C_A522_C1A990C51A36_.wvu.PrintArea" localSheetId="6" hidden="1">'8.0 Outline Specification'!$A$1:$D$34</definedName>
    <definedName name="Z_6C33A4D3_AF33_443C_A522_C1A990C51A36_.wvu.PrintArea" localSheetId="7" hidden="1">'9.0 Schedule of Floor Areas'!$A$1:$N$101</definedName>
    <definedName name="Z_6C33A4D3_AF33_443C_A522_C1A990C51A36_.wvu.PrintArea" localSheetId="9" hidden="1">'Appendix A'!$A$1:$K$35</definedName>
    <definedName name="Z_6C33A4D3_AF33_443C_A522_C1A990C51A36_.wvu.PrintArea" localSheetId="14" hidden="1">'Breakdown by Area'!$A$1:$L$136</definedName>
    <definedName name="Z_6C33A4D3_AF33_443C_A522_C1A990C51A36_.wvu.PrintArea" localSheetId="8" hidden="1">'Cash Flow'!$A$1:$N$37</definedName>
    <definedName name="Z_6C33A4D3_AF33_443C_A522_C1A990C51A36_.wvu.PrintArea" localSheetId="17" hidden="1">Flysheets!$A$1:$M$27</definedName>
    <definedName name="Z_6C33A4D3_AF33_443C_A522_C1A990C51A36_.wvu.PrintArea" localSheetId="13" hidden="1">'Option 4d'!$A$1:$J$215</definedName>
    <definedName name="Z_6C33A4D3_AF33_443C_A522_C1A990C51A36_.wvu.PrintArea" localSheetId="12" hidden="1">'Payment Milestones'!$A$1:$H$21</definedName>
    <definedName name="Z_6C33A4D3_AF33_443C_A522_C1A990C51A36_.wvu.PrintArea" localSheetId="11" hidden="1">'Pricing Schedule'!$A$1:$J$33</definedName>
    <definedName name="Z_6C33A4D3_AF33_443C_A522_C1A990C51A36_.wvu.PrintTitles" localSheetId="15" hidden="1">'(template)'!$1:$8</definedName>
    <definedName name="Z_6C33A4D3_AF33_443C_A522_C1A990C51A36_.wvu.PrintTitles" localSheetId="2" hidden="1">'2.0 Option 1'!$1:$5</definedName>
    <definedName name="Z_6C33A4D3_AF33_443C_A522_C1A990C51A36_.wvu.PrintTitles" localSheetId="16" hidden="1">'5.0 '!$1:$7</definedName>
    <definedName name="Z_6C33A4D3_AF33_443C_A522_C1A990C51A36_.wvu.PrintTitles" localSheetId="14" hidden="1">'Breakdown by Area'!$A:$A,'Breakdown by Area'!$1:$9</definedName>
    <definedName name="Z_6C33A4D3_AF33_443C_A522_C1A990C51A36_.wvu.PrintTitles" localSheetId="13" hidden="1">'Option 4d'!$1:$8</definedName>
    <definedName name="Z_6C33A4D3_AF33_443C_A522_C1A990C51A36_.wvu.PrintTitles" localSheetId="12" hidden="1">'Payment Milestones'!$1:$5</definedName>
    <definedName name="Z_6C33A4D3_AF33_443C_A522_C1A990C51A36_.wvu.PrintTitles" localSheetId="11" hidden="1">'Pricing Schedule'!$1:$7</definedName>
    <definedName name="Z_6C33A4D3_AF33_443C_A522_C1A990C51A36_.wvu.Rows" localSheetId="12" hidden="1">'Payment Milestones'!#REF!</definedName>
    <definedName name="Z_6C33A4D3_AF33_443C_A522_C1A990C51A36_.wvu.Rows" localSheetId="11" hidden="1">'Pricing Schedule'!#REF!</definedName>
  </definedNames>
  <calcPr calcId="191029"/>
  <customWorkbookViews>
    <customWorkbookView name="Primrose, Tom - Personal View" guid="{2B0692CF-4177-422C-A620-ABA6158FDE4D}" mergeInterval="0" personalView="1" maximized="1" windowWidth="1676" windowHeight="825" tabRatio="791" activeSheetId="18"/>
    <customWorkbookView name="Guyler, Peter - Personal View" guid="{6C33A4D3-AF33-443C-A522-C1A990C51A36}" mergeInterval="0" personalView="1" maximized="1" windowWidth="1676" windowHeight="805" tabRatio="791" activeSheetId="18"/>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23" i="18" l="1"/>
  <c r="G20" i="18"/>
  <c r="G17" i="18"/>
  <c r="G26" i="18"/>
  <c r="C21" i="27" l="1"/>
  <c r="F21" i="27"/>
  <c r="E21" i="27"/>
  <c r="D18" i="27"/>
  <c r="E14" i="27"/>
  <c r="F13" i="27"/>
  <c r="D12" i="27"/>
  <c r="H21" i="27" l="1"/>
  <c r="D14" i="27"/>
  <c r="F14" i="27" l="1"/>
  <c r="D21" i="27" l="1"/>
  <c r="F94" i="21" l="1"/>
  <c r="K94" i="21" s="1"/>
  <c r="C24" i="21"/>
  <c r="K24" i="21" s="1"/>
  <c r="C58" i="21"/>
  <c r="K58" i="21" s="1"/>
  <c r="C60" i="21"/>
  <c r="K60" i="21" s="1"/>
  <c r="C65" i="21"/>
  <c r="C66" i="21"/>
  <c r="C72" i="21"/>
  <c r="C82" i="21"/>
  <c r="C83" i="21"/>
  <c r="K83" i="21" s="1"/>
  <c r="C90" i="21"/>
  <c r="C100" i="21"/>
  <c r="C104" i="21"/>
  <c r="C108" i="21"/>
  <c r="K108" i="21" s="1"/>
  <c r="K59" i="21"/>
  <c r="K19" i="21"/>
  <c r="K18" i="21"/>
  <c r="D75" i="21"/>
  <c r="D58" i="21"/>
  <c r="K37" i="21"/>
  <c r="K40" i="21"/>
  <c r="K43" i="21"/>
  <c r="K46" i="21"/>
  <c r="K49" i="21"/>
  <c r="K52" i="21"/>
  <c r="C23" i="21"/>
  <c r="K23" i="21" s="1"/>
  <c r="C20" i="21"/>
  <c r="K20" i="21" s="1"/>
  <c r="C11" i="21"/>
  <c r="D11" i="21"/>
  <c r="O140" i="21"/>
  <c r="I127" i="21"/>
  <c r="H127" i="21"/>
  <c r="G127" i="21"/>
  <c r="B127" i="21"/>
  <c r="K12" i="21"/>
  <c r="K10" i="21"/>
  <c r="D104" i="21"/>
  <c r="C85" i="21"/>
  <c r="D85" i="21"/>
  <c r="K127" i="21"/>
  <c r="K87" i="21"/>
  <c r="I116" i="21"/>
  <c r="I118" i="21" s="1"/>
  <c r="H116" i="21"/>
  <c r="H118" i="21" s="1"/>
  <c r="H120" i="21" s="1"/>
  <c r="H121" i="21" s="1"/>
  <c r="H122" i="21" s="1"/>
  <c r="J116" i="21"/>
  <c r="K68" i="21"/>
  <c r="D57" i="21"/>
  <c r="D56" i="21"/>
  <c r="D60" i="21"/>
  <c r="D73" i="21"/>
  <c r="D69" i="21"/>
  <c r="D65" i="21"/>
  <c r="D64" i="21"/>
  <c r="D84" i="21"/>
  <c r="D66" i="21"/>
  <c r="D82" i="21"/>
  <c r="D78" i="21"/>
  <c r="D83" i="21"/>
  <c r="D74" i="21"/>
  <c r="D61" i="21"/>
  <c r="D81" i="21"/>
  <c r="D103" i="21"/>
  <c r="B17" i="21"/>
  <c r="K17" i="21" s="1"/>
  <c r="D31" i="21"/>
  <c r="K31" i="21" s="1"/>
  <c r="D35" i="21"/>
  <c r="K35" i="21" s="1"/>
  <c r="D32" i="21"/>
  <c r="K32" i="21" s="1"/>
  <c r="D33" i="21"/>
  <c r="K33" i="21" s="1"/>
  <c r="D30" i="21"/>
  <c r="K30" i="21" s="1"/>
  <c r="D34" i="21"/>
  <c r="K34" i="21" s="1"/>
  <c r="H32" i="18"/>
  <c r="I32" i="18"/>
  <c r="G113" i="21"/>
  <c r="K113" i="21"/>
  <c r="G112" i="21"/>
  <c r="D109" i="21"/>
  <c r="G114" i="21"/>
  <c r="K114" i="21" s="1"/>
  <c r="D100" i="21"/>
  <c r="D89" i="21"/>
  <c r="D101" i="21"/>
  <c r="D90" i="21"/>
  <c r="D99" i="21"/>
  <c r="K112" i="21"/>
  <c r="C26" i="21"/>
  <c r="K26" i="21" s="1"/>
  <c r="B16" i="21"/>
  <c r="B116" i="21" s="1"/>
  <c r="B120" i="21" s="1"/>
  <c r="G116" i="21"/>
  <c r="G120" i="21" s="1"/>
  <c r="F156" i="19"/>
  <c r="G156" i="19" s="1"/>
  <c r="F155" i="19"/>
  <c r="C161" i="19"/>
  <c r="F161" i="19" s="1"/>
  <c r="G161" i="19" s="1"/>
  <c r="G152" i="19"/>
  <c r="F152" i="19"/>
  <c r="F51" i="19"/>
  <c r="F50" i="19"/>
  <c r="G50" i="19" s="1"/>
  <c r="C56" i="19"/>
  <c r="C151" i="19"/>
  <c r="C46" i="19"/>
  <c r="F139" i="19"/>
  <c r="G139" i="19"/>
  <c r="F200" i="19"/>
  <c r="G200" i="19" s="1"/>
  <c r="F211" i="19"/>
  <c r="G211" i="19" s="1"/>
  <c r="F209" i="19"/>
  <c r="F208" i="19"/>
  <c r="G208" i="19"/>
  <c r="F207" i="19"/>
  <c r="F206" i="19"/>
  <c r="F204" i="19"/>
  <c r="G204" i="19" s="1"/>
  <c r="F203" i="19"/>
  <c r="G203" i="19" s="1"/>
  <c r="F202" i="19"/>
  <c r="F196" i="19"/>
  <c r="F195" i="19"/>
  <c r="G195" i="19" s="1"/>
  <c r="F194" i="19"/>
  <c r="G194" i="19" s="1"/>
  <c r="F193" i="19"/>
  <c r="G193" i="19" s="1"/>
  <c r="F192" i="19"/>
  <c r="G192" i="19" s="1"/>
  <c r="F190" i="19"/>
  <c r="F189" i="19"/>
  <c r="G189" i="19" s="1"/>
  <c r="F188" i="19"/>
  <c r="F186" i="19"/>
  <c r="F184" i="19"/>
  <c r="F183" i="19"/>
  <c r="G183" i="19"/>
  <c r="F182" i="19"/>
  <c r="G182" i="19" s="1"/>
  <c r="F181" i="19"/>
  <c r="F179" i="19"/>
  <c r="F178" i="19"/>
  <c r="F177" i="19"/>
  <c r="F176" i="19"/>
  <c r="G176" i="19" s="1"/>
  <c r="F106" i="19"/>
  <c r="G106" i="19" s="1"/>
  <c r="F104" i="19"/>
  <c r="F103" i="19"/>
  <c r="G103" i="19" s="1"/>
  <c r="F102" i="19"/>
  <c r="F101" i="19"/>
  <c r="G101" i="19" s="1"/>
  <c r="F99" i="19"/>
  <c r="F98" i="19"/>
  <c r="F97" i="19"/>
  <c r="G97" i="19" s="1"/>
  <c r="F91" i="19"/>
  <c r="G91" i="19" s="1"/>
  <c r="F90" i="19"/>
  <c r="F89" i="19"/>
  <c r="G89" i="19" s="1"/>
  <c r="F88" i="19"/>
  <c r="G88" i="19" s="1"/>
  <c r="F87" i="19"/>
  <c r="G87" i="19" s="1"/>
  <c r="F85" i="19"/>
  <c r="G85" i="19" s="1"/>
  <c r="F84" i="19"/>
  <c r="F83" i="19"/>
  <c r="G83" i="19" s="1"/>
  <c r="F81" i="19"/>
  <c r="G81" i="19" s="1"/>
  <c r="F79" i="19"/>
  <c r="F78" i="19"/>
  <c r="G78" i="19" s="1"/>
  <c r="F77" i="19"/>
  <c r="F76" i="19"/>
  <c r="G76" i="19" s="1"/>
  <c r="F74" i="19"/>
  <c r="F73" i="19"/>
  <c r="F72" i="19"/>
  <c r="G72" i="19" s="1"/>
  <c r="F71" i="19"/>
  <c r="F6" i="19"/>
  <c r="G181" i="19"/>
  <c r="G184" i="19"/>
  <c r="G206" i="19"/>
  <c r="G209" i="19"/>
  <c r="G207" i="19"/>
  <c r="G179" i="19"/>
  <c r="G186" i="19"/>
  <c r="G190" i="19"/>
  <c r="G196" i="19"/>
  <c r="G73" i="19"/>
  <c r="G84" i="19"/>
  <c r="G177" i="19"/>
  <c r="G188" i="19"/>
  <c r="G202" i="19"/>
  <c r="G98" i="19"/>
  <c r="G79" i="19"/>
  <c r="G99" i="19"/>
  <c r="G104" i="19"/>
  <c r="G77" i="19"/>
  <c r="G74" i="19"/>
  <c r="G102" i="19"/>
  <c r="G90" i="19"/>
  <c r="I112" i="19"/>
  <c r="H112" i="19"/>
  <c r="F123" i="19"/>
  <c r="H122" i="19"/>
  <c r="F133" i="19"/>
  <c r="G133" i="19" s="1"/>
  <c r="F29" i="19"/>
  <c r="G29" i="19" s="1"/>
  <c r="F122" i="19"/>
  <c r="I122" i="19" s="1"/>
  <c r="C119" i="19"/>
  <c r="F119" i="19" s="1"/>
  <c r="G119" i="19" s="1"/>
  <c r="C13" i="19"/>
  <c r="F13" i="19" s="1"/>
  <c r="G13" i="19" s="1"/>
  <c r="C150" i="19"/>
  <c r="F150" i="19" s="1"/>
  <c r="G150" i="19" s="1"/>
  <c r="C45" i="19"/>
  <c r="F47" i="19"/>
  <c r="F46" i="19"/>
  <c r="G46" i="19" s="1"/>
  <c r="G122" i="19"/>
  <c r="C40" i="19"/>
  <c r="F40" i="19" s="1"/>
  <c r="G40" i="19" s="1"/>
  <c r="C145" i="19"/>
  <c r="F145" i="19" s="1"/>
  <c r="G145" i="19" s="1"/>
  <c r="C142" i="19"/>
  <c r="F142" i="19" s="1"/>
  <c r="G142" i="19" s="1"/>
  <c r="C37" i="19"/>
  <c r="C61" i="19"/>
  <c r="F61" i="19" s="1"/>
  <c r="G61" i="19" s="1"/>
  <c r="C126" i="19"/>
  <c r="C127" i="19" s="1"/>
  <c r="F127" i="19" s="1"/>
  <c r="G127" i="19" s="1"/>
  <c r="G123" i="19"/>
  <c r="H174" i="19"/>
  <c r="F172" i="19"/>
  <c r="F171" i="19"/>
  <c r="H170" i="19"/>
  <c r="I167" i="19"/>
  <c r="I166" i="19"/>
  <c r="F165" i="19"/>
  <c r="H158" i="19"/>
  <c r="H149" i="19"/>
  <c r="F146" i="19"/>
  <c r="G146" i="19" s="1"/>
  <c r="H141" i="19"/>
  <c r="G140" i="19"/>
  <c r="F138" i="19"/>
  <c r="H137" i="19"/>
  <c r="H214" i="19"/>
  <c r="I214" i="19"/>
  <c r="F135" i="19"/>
  <c r="F134" i="19"/>
  <c r="G134" i="19" s="1"/>
  <c r="H131" i="19"/>
  <c r="F128" i="19"/>
  <c r="H125" i="19"/>
  <c r="H9" i="19"/>
  <c r="F120" i="19"/>
  <c r="G120" i="19" s="1"/>
  <c r="H117" i="19"/>
  <c r="H115" i="19"/>
  <c r="C110" i="19"/>
  <c r="F110" i="19" s="1"/>
  <c r="G110" i="19" s="1"/>
  <c r="F109" i="19"/>
  <c r="H109" i="19"/>
  <c r="H69" i="19"/>
  <c r="F67" i="19"/>
  <c r="F66" i="19"/>
  <c r="H65" i="19"/>
  <c r="I62" i="19"/>
  <c r="I61" i="19"/>
  <c r="F60" i="19"/>
  <c r="G60" i="19" s="1"/>
  <c r="F56" i="19"/>
  <c r="H53" i="19"/>
  <c r="H44" i="19"/>
  <c r="F41" i="19"/>
  <c r="G41" i="19" s="1"/>
  <c r="H36" i="19"/>
  <c r="G35" i="19"/>
  <c r="F34" i="19"/>
  <c r="G34" i="19" s="1"/>
  <c r="H33" i="19"/>
  <c r="F31" i="19"/>
  <c r="G31" i="19" s="1"/>
  <c r="F30" i="19"/>
  <c r="G30" i="19"/>
  <c r="H27" i="19"/>
  <c r="I26" i="19"/>
  <c r="F24" i="19"/>
  <c r="G24" i="19" s="1"/>
  <c r="H21" i="19"/>
  <c r="I20" i="19"/>
  <c r="F18" i="19"/>
  <c r="G18" i="19" s="1"/>
  <c r="H17" i="19"/>
  <c r="F15" i="19"/>
  <c r="G15" i="19" s="1"/>
  <c r="F14" i="19"/>
  <c r="G14" i="19" s="1"/>
  <c r="H11" i="19"/>
  <c r="A2" i="19"/>
  <c r="A1" i="19"/>
  <c r="F17" i="19"/>
  <c r="G47" i="19"/>
  <c r="F170" i="19"/>
  <c r="I170" i="19" s="1"/>
  <c r="C143" i="19"/>
  <c r="C147" i="19" s="1"/>
  <c r="F147" i="19" s="1"/>
  <c r="G147" i="19" s="1"/>
  <c r="G165" i="19"/>
  <c r="G171" i="19"/>
  <c r="G172" i="19"/>
  <c r="G128" i="19"/>
  <c r="G135" i="19"/>
  <c r="G56" i="19"/>
  <c r="G67" i="19"/>
  <c r="G17" i="19"/>
  <c r="C160" i="19"/>
  <c r="F160" i="19" s="1"/>
  <c r="G160" i="19" s="1"/>
  <c r="F45" i="19"/>
  <c r="C22" i="19"/>
  <c r="F22" i="19" s="1"/>
  <c r="G22" i="19" s="1"/>
  <c r="C12" i="19"/>
  <c r="F12" i="19" s="1"/>
  <c r="C25" i="19"/>
  <c r="C28" i="19" s="1"/>
  <c r="C129" i="19"/>
  <c r="F129" i="19" s="1"/>
  <c r="G129" i="19" s="1"/>
  <c r="C23" i="19"/>
  <c r="F23" i="19" s="1"/>
  <c r="G23" i="19" s="1"/>
  <c r="H28" i="18"/>
  <c r="H16" i="18"/>
  <c r="I15" i="18"/>
  <c r="H13" i="18"/>
  <c r="H10" i="18"/>
  <c r="A2" i="21"/>
  <c r="A1" i="21"/>
  <c r="C69" i="21"/>
  <c r="A2" i="22"/>
  <c r="H126" i="22"/>
  <c r="G126" i="22"/>
  <c r="G125" i="22"/>
  <c r="H125" i="22" s="1"/>
  <c r="G124" i="22"/>
  <c r="H127" i="22"/>
  <c r="I123" i="22"/>
  <c r="G58" i="22"/>
  <c r="G57" i="22"/>
  <c r="H57" i="22" s="1"/>
  <c r="G28" i="22"/>
  <c r="H28" i="22" s="1"/>
  <c r="G29" i="22"/>
  <c r="H29" i="22" s="1"/>
  <c r="H58" i="22"/>
  <c r="A1" i="22"/>
  <c r="K59" i="23"/>
  <c r="G47" i="22"/>
  <c r="H47" i="22" s="1"/>
  <c r="G45" i="22"/>
  <c r="H45" i="22" s="1"/>
  <c r="G114" i="22"/>
  <c r="H114" i="22" s="1"/>
  <c r="G113" i="22"/>
  <c r="H113" i="22" s="1"/>
  <c r="G34" i="22"/>
  <c r="H34" i="22" s="1"/>
  <c r="G33" i="22"/>
  <c r="H33" i="22"/>
  <c r="G32" i="22"/>
  <c r="H32" i="22" s="1"/>
  <c r="G74" i="22"/>
  <c r="H74" i="22" s="1"/>
  <c r="G75" i="22"/>
  <c r="G76" i="22"/>
  <c r="H76" i="22" s="1"/>
  <c r="G78" i="22"/>
  <c r="H78" i="22" s="1"/>
  <c r="G79" i="22"/>
  <c r="H79" i="22"/>
  <c r="G82" i="22"/>
  <c r="H82" i="22" s="1"/>
  <c r="G83" i="22"/>
  <c r="H83" i="22" s="1"/>
  <c r="G84" i="22"/>
  <c r="H84" i="22" s="1"/>
  <c r="G86" i="22"/>
  <c r="H86" i="22" s="1"/>
  <c r="G87" i="22"/>
  <c r="H87" i="22" s="1"/>
  <c r="G88" i="22"/>
  <c r="H88" i="22" s="1"/>
  <c r="G90" i="22"/>
  <c r="H90" i="22" s="1"/>
  <c r="G91" i="22"/>
  <c r="H91" i="22" s="1"/>
  <c r="G92" i="22"/>
  <c r="H92" i="22" s="1"/>
  <c r="G93" i="22"/>
  <c r="H93" i="22"/>
  <c r="G94" i="22"/>
  <c r="H94" i="22" s="1"/>
  <c r="G95" i="22"/>
  <c r="H95" i="22" s="1"/>
  <c r="G96" i="22"/>
  <c r="H96" i="22" s="1"/>
  <c r="G97" i="22"/>
  <c r="H97" i="22" s="1"/>
  <c r="G98" i="22"/>
  <c r="H98" i="22" s="1"/>
  <c r="G101" i="22"/>
  <c r="H101" i="22" s="1"/>
  <c r="G104" i="22"/>
  <c r="H104" i="22" s="1"/>
  <c r="G105" i="22"/>
  <c r="H105" i="22"/>
  <c r="G106" i="22"/>
  <c r="H106" i="22" s="1"/>
  <c r="G109" i="22"/>
  <c r="H109" i="22" s="1"/>
  <c r="G40" i="22"/>
  <c r="H40" i="22" s="1"/>
  <c r="G39" i="22"/>
  <c r="H39" i="22" s="1"/>
  <c r="G38" i="22"/>
  <c r="H38" i="22" s="1"/>
  <c r="I37" i="22"/>
  <c r="G14" i="22"/>
  <c r="H14" i="22"/>
  <c r="G13" i="22"/>
  <c r="H13" i="22" s="1"/>
  <c r="I129" i="22"/>
  <c r="C35" i="23"/>
  <c r="F35" i="23" s="1"/>
  <c r="G27" i="22"/>
  <c r="H27" i="22" s="1"/>
  <c r="G15" i="22"/>
  <c r="H15" i="22" s="1"/>
  <c r="G12" i="22"/>
  <c r="H12" i="22" s="1"/>
  <c r="G121" i="22"/>
  <c r="H121" i="22"/>
  <c r="G120" i="22"/>
  <c r="H120" i="22" s="1"/>
  <c r="G119" i="22"/>
  <c r="H119" i="22"/>
  <c r="G117" i="22"/>
  <c r="I116" i="22"/>
  <c r="I71" i="22"/>
  <c r="I68" i="22"/>
  <c r="J67" i="22"/>
  <c r="J66" i="22"/>
  <c r="G65" i="22"/>
  <c r="H65" i="22"/>
  <c r="G64" i="22"/>
  <c r="H64" i="22" s="1"/>
  <c r="G63" i="22"/>
  <c r="H63" i="22" s="1"/>
  <c r="I61" i="22"/>
  <c r="I53" i="22"/>
  <c r="G51" i="22"/>
  <c r="H51" i="22" s="1"/>
  <c r="G50" i="22"/>
  <c r="H50" i="22" s="1"/>
  <c r="G49" i="22"/>
  <c r="H49" i="22" s="1"/>
  <c r="G44" i="22"/>
  <c r="H44" i="22" s="1"/>
  <c r="G43" i="22"/>
  <c r="H43" i="22" s="1"/>
  <c r="I42" i="22"/>
  <c r="H41" i="22"/>
  <c r="I31" i="22"/>
  <c r="J30" i="22"/>
  <c r="J129" i="22"/>
  <c r="G24" i="22"/>
  <c r="H24" i="22" s="1"/>
  <c r="I22" i="22"/>
  <c r="J21" i="22"/>
  <c r="G20" i="22"/>
  <c r="H20" i="22"/>
  <c r="G19" i="22"/>
  <c r="H19" i="22" s="1"/>
  <c r="I18" i="22"/>
  <c r="G11" i="22"/>
  <c r="I10" i="22"/>
  <c r="G18" i="22"/>
  <c r="H18" i="22" s="1"/>
  <c r="G23" i="22"/>
  <c r="H23" i="22" s="1"/>
  <c r="G118" i="22"/>
  <c r="H118" i="22" s="1"/>
  <c r="G35" i="22"/>
  <c r="H35" i="22" s="1"/>
  <c r="G54" i="22"/>
  <c r="G53" i="22" s="1"/>
  <c r="H53" i="22" s="1"/>
  <c r="G110" i="22"/>
  <c r="H110" i="22" s="1"/>
  <c r="G69" i="22"/>
  <c r="H69" i="22" s="1"/>
  <c r="G73" i="22"/>
  <c r="H73" i="22"/>
  <c r="G46" i="22"/>
  <c r="H46" i="22" s="1"/>
  <c r="G25" i="22"/>
  <c r="H25" i="22"/>
  <c r="H112" i="22"/>
  <c r="G111" i="22"/>
  <c r="H111" i="22" s="1"/>
  <c r="G31" i="22"/>
  <c r="H72" i="22"/>
  <c r="H100" i="22"/>
  <c r="H81" i="22"/>
  <c r="H89" i="22"/>
  <c r="H103" i="22"/>
  <c r="J18" i="22"/>
  <c r="C59" i="23"/>
  <c r="K18" i="23"/>
  <c r="C18" i="23" s="1"/>
  <c r="F141" i="23"/>
  <c r="K35" i="23"/>
  <c r="K65" i="23"/>
  <c r="K60" i="23"/>
  <c r="K61" i="23"/>
  <c r="L11" i="23"/>
  <c r="K79" i="23"/>
  <c r="K80" i="23" s="1"/>
  <c r="K44" i="23"/>
  <c r="K37" i="23"/>
  <c r="K29" i="23"/>
  <c r="K20" i="23"/>
  <c r="G1" i="23"/>
  <c r="A2" i="23"/>
  <c r="A1" i="23"/>
  <c r="E24" i="23"/>
  <c r="F24" i="23" s="1"/>
  <c r="G24" i="23" s="1"/>
  <c r="E23" i="23"/>
  <c r="F23" i="23" s="1"/>
  <c r="G23" i="23" s="1"/>
  <c r="E129" i="23"/>
  <c r="F142" i="23"/>
  <c r="G142" i="23"/>
  <c r="F138" i="23"/>
  <c r="G138" i="23" s="1"/>
  <c r="F107" i="23"/>
  <c r="G107" i="23"/>
  <c r="F66" i="23"/>
  <c r="G66" i="23" s="1"/>
  <c r="F47" i="23"/>
  <c r="G47" i="23" s="1"/>
  <c r="E17" i="23"/>
  <c r="F17" i="23" s="1"/>
  <c r="G17" i="23" s="1"/>
  <c r="E11" i="23"/>
  <c r="F11" i="23" s="1"/>
  <c r="C103" i="23"/>
  <c r="C79" i="23"/>
  <c r="C130" i="23" s="1"/>
  <c r="F130" i="23" s="1"/>
  <c r="G130" i="23" s="1"/>
  <c r="C44" i="23"/>
  <c r="F44" i="23" s="1"/>
  <c r="G44" i="23" s="1"/>
  <c r="C29" i="23"/>
  <c r="F29" i="23" s="1"/>
  <c r="F16" i="23"/>
  <c r="G16" i="23" s="1"/>
  <c r="F15" i="23"/>
  <c r="G15" i="23" s="1"/>
  <c r="F13" i="23"/>
  <c r="G13" i="23" s="1"/>
  <c r="F12" i="23"/>
  <c r="G12" i="23" s="1"/>
  <c r="F14" i="23"/>
  <c r="G14" i="23"/>
  <c r="F10" i="23"/>
  <c r="G10" i="23" s="1"/>
  <c r="F64" i="23"/>
  <c r="G64" i="23" s="1"/>
  <c r="F54" i="23"/>
  <c r="G54" i="23" s="1"/>
  <c r="C37" i="23"/>
  <c r="F36" i="23"/>
  <c r="G36" i="23" s="1"/>
  <c r="C109" i="23"/>
  <c r="F109" i="23" s="1"/>
  <c r="G109" i="23" s="1"/>
  <c r="F106" i="23"/>
  <c r="G106" i="23" s="1"/>
  <c r="F102" i="23"/>
  <c r="G102" i="23"/>
  <c r="A4" i="17"/>
  <c r="A2" i="17"/>
  <c r="K1" i="17"/>
  <c r="A1" i="17"/>
  <c r="C10" i="8"/>
  <c r="C63" i="8" s="1"/>
  <c r="A139" i="23"/>
  <c r="F140" i="23"/>
  <c r="G140" i="23" s="1"/>
  <c r="N75" i="8"/>
  <c r="O75" i="8" s="1"/>
  <c r="F129" i="23"/>
  <c r="G129" i="23"/>
  <c r="F101" i="23"/>
  <c r="G101" i="23" s="1"/>
  <c r="A72" i="23"/>
  <c r="A60" i="23"/>
  <c r="A45" i="23"/>
  <c r="F30" i="23"/>
  <c r="G30" i="23" s="1"/>
  <c r="F33" i="8"/>
  <c r="F27" i="8"/>
  <c r="F53" i="23"/>
  <c r="G53" i="23" s="1"/>
  <c r="F57" i="8"/>
  <c r="N35" i="8"/>
  <c r="I74" i="8"/>
  <c r="A77" i="8"/>
  <c r="A63" i="8"/>
  <c r="A57" i="8"/>
  <c r="A49" i="8"/>
  <c r="A50" i="8"/>
  <c r="A51" i="8" s="1"/>
  <c r="C68" i="8"/>
  <c r="F26" i="8"/>
  <c r="N4" i="8"/>
  <c r="F69" i="8"/>
  <c r="G69" i="8" s="1"/>
  <c r="A144" i="23"/>
  <c r="A68" i="23"/>
  <c r="F139" i="23"/>
  <c r="F65" i="23"/>
  <c r="A135" i="23"/>
  <c r="F62" i="23"/>
  <c r="F125" i="23"/>
  <c r="G125" i="23" s="1"/>
  <c r="A56" i="23"/>
  <c r="F120" i="23"/>
  <c r="G120" i="23" s="1"/>
  <c r="F52" i="23"/>
  <c r="G52" i="23" s="1"/>
  <c r="F56" i="23"/>
  <c r="G56" i="23" s="1"/>
  <c r="F117" i="23"/>
  <c r="G117" i="23" s="1"/>
  <c r="A49" i="23"/>
  <c r="F116" i="23"/>
  <c r="G116" i="23" s="1"/>
  <c r="F115" i="23"/>
  <c r="G115" i="23" s="1"/>
  <c r="F46" i="23"/>
  <c r="G46" i="23" s="1"/>
  <c r="F114" i="23"/>
  <c r="G114" i="23" s="1"/>
  <c r="F45" i="23"/>
  <c r="F112" i="23"/>
  <c r="G112" i="23" s="1"/>
  <c r="A41" i="23"/>
  <c r="F105" i="23"/>
  <c r="G105" i="23"/>
  <c r="F103" i="23"/>
  <c r="G103" i="23" s="1"/>
  <c r="F39" i="23"/>
  <c r="G39" i="23" s="1"/>
  <c r="F97" i="23"/>
  <c r="G97" i="23"/>
  <c r="A32" i="23"/>
  <c r="F94" i="23"/>
  <c r="G94" i="23" s="1"/>
  <c r="F93" i="23"/>
  <c r="G93" i="23" s="1"/>
  <c r="A88" i="23"/>
  <c r="A26" i="23"/>
  <c r="F86" i="23"/>
  <c r="F88" i="23" s="1"/>
  <c r="G88" i="23" s="1"/>
  <c r="G86" i="23"/>
  <c r="F22" i="23"/>
  <c r="A83" i="23"/>
  <c r="E21" i="23"/>
  <c r="F21" i="23" s="1"/>
  <c r="G21" i="23" s="1"/>
  <c r="A74" i="23"/>
  <c r="F19" i="23"/>
  <c r="G19" i="23" s="1"/>
  <c r="F71" i="23"/>
  <c r="F74" i="23" s="1"/>
  <c r="N30" i="8"/>
  <c r="N50" i="8"/>
  <c r="O50" i="8" s="1"/>
  <c r="E6" i="23"/>
  <c r="G22" i="23"/>
  <c r="G45" i="23"/>
  <c r="G29" i="23"/>
  <c r="G65" i="23"/>
  <c r="G71" i="23"/>
  <c r="G62" i="23"/>
  <c r="G139" i="23"/>
  <c r="F59" i="23"/>
  <c r="F20" i="23"/>
  <c r="G20" i="23" s="1"/>
  <c r="F98" i="23"/>
  <c r="G98" i="23" s="1"/>
  <c r="F95" i="23"/>
  <c r="G95" i="23" s="1"/>
  <c r="G74" i="23"/>
  <c r="G59" i="23"/>
  <c r="F37" i="23"/>
  <c r="G37" i="23" s="1"/>
  <c r="I16" i="8"/>
  <c r="K13" i="8"/>
  <c r="N13" i="8"/>
  <c r="N16" i="8" s="1"/>
  <c r="O16" i="8" s="1"/>
  <c r="A79" i="8"/>
  <c r="F76" i="8"/>
  <c r="A73" i="8"/>
  <c r="C71" i="8"/>
  <c r="F71" i="8" s="1"/>
  <c r="G71" i="8" s="1"/>
  <c r="C70" i="8"/>
  <c r="F70" i="8"/>
  <c r="F68" i="8"/>
  <c r="G68" i="8" s="1"/>
  <c r="F67" i="8"/>
  <c r="F66" i="8"/>
  <c r="I78" i="8"/>
  <c r="N74" i="8"/>
  <c r="N73" i="8"/>
  <c r="A59" i="8"/>
  <c r="I70" i="8"/>
  <c r="F56" i="8"/>
  <c r="A53" i="8"/>
  <c r="F51" i="8"/>
  <c r="F50" i="8"/>
  <c r="G50" i="8" s="1"/>
  <c r="F49" i="8"/>
  <c r="N59" i="8"/>
  <c r="N57" i="8"/>
  <c r="A45" i="8"/>
  <c r="N53" i="8"/>
  <c r="O53" i="8" s="1"/>
  <c r="N51" i="8"/>
  <c r="N49" i="8"/>
  <c r="F42" i="8"/>
  <c r="G42" i="8" s="1"/>
  <c r="N48" i="8"/>
  <c r="O48" i="8" s="1"/>
  <c r="F41" i="8"/>
  <c r="N47" i="8"/>
  <c r="F40" i="8"/>
  <c r="N46" i="8"/>
  <c r="N44" i="8"/>
  <c r="A35" i="8"/>
  <c r="N39" i="8"/>
  <c r="O39" i="8" s="1"/>
  <c r="F32" i="8"/>
  <c r="N37" i="8"/>
  <c r="N36" i="8"/>
  <c r="A29" i="8"/>
  <c r="N33" i="8"/>
  <c r="O33" i="8" s="1"/>
  <c r="F25" i="8"/>
  <c r="N31" i="8"/>
  <c r="O31" i="8" s="1"/>
  <c r="E23" i="8"/>
  <c r="F23" i="8" s="1"/>
  <c r="F21" i="8"/>
  <c r="G21" i="8" s="1"/>
  <c r="E19" i="8"/>
  <c r="F19" i="8" s="1"/>
  <c r="N27" i="8"/>
  <c r="F18" i="8"/>
  <c r="G18" i="8" s="1"/>
  <c r="N26" i="8"/>
  <c r="O26" i="8" s="1"/>
  <c r="E16" i="8"/>
  <c r="F16" i="8" s="1"/>
  <c r="G16" i="8" s="1"/>
  <c r="E14" i="8"/>
  <c r="F14" i="8"/>
  <c r="G14" i="8" s="1"/>
  <c r="F13" i="8"/>
  <c r="G13" i="8" s="1"/>
  <c r="I21" i="8"/>
  <c r="F11" i="8"/>
  <c r="F10" i="8"/>
  <c r="G10" i="8" s="1"/>
  <c r="N19" i="8"/>
  <c r="C6" i="8"/>
  <c r="G33" i="8" s="1"/>
  <c r="G27" i="8"/>
  <c r="C38" i="8"/>
  <c r="G41" i="8"/>
  <c r="G49" i="8"/>
  <c r="O73" i="8"/>
  <c r="G66" i="8"/>
  <c r="O74" i="8"/>
  <c r="G70" i="8"/>
  <c r="K6" i="8"/>
  <c r="K58" i="8" s="1"/>
  <c r="N58" i="8" s="1"/>
  <c r="O58" i="8" s="1"/>
  <c r="C12" i="8"/>
  <c r="F12" i="8" s="1"/>
  <c r="K25" i="8"/>
  <c r="N25" i="8" s="1"/>
  <c r="E6" i="8"/>
  <c r="N12" i="8"/>
  <c r="C48" i="8"/>
  <c r="F48" i="8" s="1"/>
  <c r="F62" i="8"/>
  <c r="O30" i="8"/>
  <c r="O49" i="8"/>
  <c r="M6" i="8"/>
  <c r="N63" i="8"/>
  <c r="O63" i="8"/>
  <c r="K43" i="8"/>
  <c r="N43" i="8" s="1"/>
  <c r="O43" i="8" s="1"/>
  <c r="K38" i="8"/>
  <c r="N38" i="8"/>
  <c r="O38" i="8" s="1"/>
  <c r="K28" i="8"/>
  <c r="N28" i="8" s="1"/>
  <c r="O28" i="8" s="1"/>
  <c r="O47" i="8"/>
  <c r="O46" i="8"/>
  <c r="O12" i="8"/>
  <c r="O57" i="8"/>
  <c r="O51" i="8"/>
  <c r="B4" i="8"/>
  <c r="A1" i="8"/>
  <c r="A2" i="8"/>
  <c r="A66" i="14"/>
  <c r="C7" i="15"/>
  <c r="C8" i="15" s="1"/>
  <c r="E7" i="15"/>
  <c r="E8" i="15"/>
  <c r="E9" i="15" s="1"/>
  <c r="E10" i="15" s="1"/>
  <c r="E11" i="15" s="1"/>
  <c r="E12" i="15" s="1"/>
  <c r="E13" i="15" s="1"/>
  <c r="E14" i="15" s="1"/>
  <c r="E15" i="15" s="1"/>
  <c r="E16" i="15"/>
  <c r="E17" i="15"/>
  <c r="E18" i="15"/>
  <c r="E19" i="15"/>
  <c r="E20" i="15"/>
  <c r="E21" i="15"/>
  <c r="E22" i="15"/>
  <c r="E23" i="15"/>
  <c r="E24" i="15"/>
  <c r="E25" i="15"/>
  <c r="E26" i="15"/>
  <c r="E27" i="15"/>
  <c r="E28" i="15"/>
  <c r="E29" i="15"/>
  <c r="E30" i="15"/>
  <c r="E31" i="15"/>
  <c r="E32" i="15"/>
  <c r="E33" i="15"/>
  <c r="E34" i="15"/>
  <c r="E35" i="15"/>
  <c r="E36" i="15"/>
  <c r="E37" i="15"/>
  <c r="O1" i="10"/>
  <c r="O3" i="10"/>
  <c r="I9" i="10"/>
  <c r="E9" i="10"/>
  <c r="E12" i="10"/>
  <c r="M12" i="10" s="1"/>
  <c r="E13" i="10"/>
  <c r="E14" i="10"/>
  <c r="M14" i="10"/>
  <c r="V14" i="10" s="1"/>
  <c r="E15" i="10"/>
  <c r="M15" i="10" s="1"/>
  <c r="W15" i="10" s="1"/>
  <c r="E16" i="10"/>
  <c r="M16" i="10" s="1"/>
  <c r="V16" i="10" s="1"/>
  <c r="L16" i="10"/>
  <c r="E17" i="10"/>
  <c r="M17" i="10" s="1"/>
  <c r="V17" i="10" s="1"/>
  <c r="E18" i="10"/>
  <c r="M18" i="10" s="1"/>
  <c r="E19" i="10"/>
  <c r="M19" i="10" s="1"/>
  <c r="E20" i="10"/>
  <c r="M20" i="10" s="1"/>
  <c r="E21" i="10"/>
  <c r="M21" i="10" s="1"/>
  <c r="E22" i="10"/>
  <c r="L22" i="10"/>
  <c r="E23" i="10"/>
  <c r="L23" i="10" s="1"/>
  <c r="E24" i="10"/>
  <c r="M24" i="10"/>
  <c r="V24" i="10" s="1"/>
  <c r="E25" i="10"/>
  <c r="M25" i="10" s="1"/>
  <c r="E26" i="10"/>
  <c r="E28" i="10"/>
  <c r="M28" i="10"/>
  <c r="W28" i="10" s="1"/>
  <c r="E29" i="10"/>
  <c r="I12" i="10"/>
  <c r="R12" i="10" s="1"/>
  <c r="I13" i="10"/>
  <c r="S13" i="10" s="1"/>
  <c r="I14" i="10"/>
  <c r="R14" i="10" s="1"/>
  <c r="I15" i="10"/>
  <c r="S15" i="10" s="1"/>
  <c r="I16" i="10"/>
  <c r="R16" i="10" s="1"/>
  <c r="S16" i="10"/>
  <c r="I17" i="10"/>
  <c r="S17" i="10" s="1"/>
  <c r="I18" i="10"/>
  <c r="R18" i="10" s="1"/>
  <c r="S18" i="10"/>
  <c r="I19" i="10"/>
  <c r="S19" i="10" s="1"/>
  <c r="I20" i="10"/>
  <c r="R20" i="10" s="1"/>
  <c r="S20" i="10"/>
  <c r="I21" i="10"/>
  <c r="R21" i="10" s="1"/>
  <c r="I22" i="10"/>
  <c r="R22" i="10" s="1"/>
  <c r="S22" i="10"/>
  <c r="I23" i="10"/>
  <c r="R23" i="10" s="1"/>
  <c r="I24" i="10"/>
  <c r="R24" i="10" s="1"/>
  <c r="I25" i="10"/>
  <c r="S25" i="10" s="1"/>
  <c r="I26" i="10"/>
  <c r="S26" i="10"/>
  <c r="I28" i="10"/>
  <c r="R28" i="10" s="1"/>
  <c r="I29" i="10"/>
  <c r="R29" i="10" s="1"/>
  <c r="O30" i="10"/>
  <c r="H12" i="10"/>
  <c r="H13" i="10"/>
  <c r="H14" i="10"/>
  <c r="H15" i="10"/>
  <c r="H16" i="10"/>
  <c r="H17" i="10"/>
  <c r="H18" i="10"/>
  <c r="H19" i="10"/>
  <c r="H20" i="10"/>
  <c r="H21" i="10"/>
  <c r="H22" i="10"/>
  <c r="H23" i="10"/>
  <c r="H24" i="10"/>
  <c r="H25" i="10"/>
  <c r="H26" i="10"/>
  <c r="H28" i="10"/>
  <c r="H29" i="10"/>
  <c r="D12" i="10"/>
  <c r="D13" i="10"/>
  <c r="D14" i="10"/>
  <c r="D15" i="10"/>
  <c r="D16" i="10"/>
  <c r="D17" i="10"/>
  <c r="D18" i="10"/>
  <c r="D19" i="10"/>
  <c r="D20" i="10"/>
  <c r="D21" i="10"/>
  <c r="D22" i="10"/>
  <c r="D23" i="10"/>
  <c r="D24" i="10"/>
  <c r="D25" i="10"/>
  <c r="D26" i="10"/>
  <c r="D28" i="10"/>
  <c r="D29" i="10"/>
  <c r="O29" i="10"/>
  <c r="O28" i="10"/>
  <c r="O27" i="10"/>
  <c r="O26" i="10"/>
  <c r="O25" i="10"/>
  <c r="O24" i="10"/>
  <c r="O23" i="10"/>
  <c r="O22" i="10"/>
  <c r="O21" i="10"/>
  <c r="O20" i="10"/>
  <c r="O19" i="10"/>
  <c r="O18" i="10"/>
  <c r="O17" i="10"/>
  <c r="O16" i="10"/>
  <c r="O15" i="10"/>
  <c r="O14" i="10"/>
  <c r="O13" i="10"/>
  <c r="O12" i="10"/>
  <c r="W9" i="10"/>
  <c r="S9" i="10"/>
  <c r="M9" i="10"/>
  <c r="C7" i="10"/>
  <c r="P3" i="10"/>
  <c r="P1" i="10"/>
  <c r="B71" i="14"/>
  <c r="C71" i="14"/>
  <c r="B72" i="14"/>
  <c r="D72" i="14" s="1"/>
  <c r="C72" i="14"/>
  <c r="B73" i="14"/>
  <c r="C73" i="14"/>
  <c r="B74" i="14"/>
  <c r="C74" i="14"/>
  <c r="B75" i="14"/>
  <c r="C75" i="14"/>
  <c r="B76" i="14"/>
  <c r="D76" i="14" s="1"/>
  <c r="L76" i="14" s="1"/>
  <c r="M76" i="14" s="1"/>
  <c r="C76" i="14"/>
  <c r="B77" i="14"/>
  <c r="C77" i="14"/>
  <c r="B78" i="14"/>
  <c r="D78" i="14" s="1"/>
  <c r="L78" i="14" s="1"/>
  <c r="C78" i="14"/>
  <c r="B79" i="14"/>
  <c r="C79" i="14"/>
  <c r="B80" i="14"/>
  <c r="D80" i="14" s="1"/>
  <c r="C80" i="14"/>
  <c r="B81" i="14"/>
  <c r="D81" i="14" s="1"/>
  <c r="C81" i="14"/>
  <c r="B82" i="14"/>
  <c r="C82" i="14"/>
  <c r="B83" i="14"/>
  <c r="D83" i="14" s="1"/>
  <c r="L83" i="14" s="1"/>
  <c r="C83" i="14"/>
  <c r="B84" i="14"/>
  <c r="C84" i="14"/>
  <c r="B85" i="14"/>
  <c r="C85" i="14"/>
  <c r="B86" i="14"/>
  <c r="C86" i="14"/>
  <c r="B87" i="14"/>
  <c r="C87" i="14"/>
  <c r="D87" i="14" s="1"/>
  <c r="B88" i="14"/>
  <c r="D88" i="14" s="1"/>
  <c r="C88" i="14"/>
  <c r="B89" i="14"/>
  <c r="D89" i="14" s="1"/>
  <c r="C89" i="14"/>
  <c r="B90" i="14"/>
  <c r="C90" i="14"/>
  <c r="B91" i="14"/>
  <c r="C91" i="14"/>
  <c r="B92" i="14"/>
  <c r="C92" i="14"/>
  <c r="B93" i="14"/>
  <c r="C93" i="14"/>
  <c r="B94" i="14"/>
  <c r="C94" i="14"/>
  <c r="D94" i="14" s="1"/>
  <c r="B95" i="14"/>
  <c r="C95" i="14"/>
  <c r="D95" i="14" s="1"/>
  <c r="E71" i="14"/>
  <c r="F71" i="14"/>
  <c r="G71" i="14"/>
  <c r="H71" i="14"/>
  <c r="I71" i="14"/>
  <c r="J71" i="14"/>
  <c r="K71" i="14"/>
  <c r="E72" i="14"/>
  <c r="F72" i="14"/>
  <c r="G72" i="14"/>
  <c r="H72" i="14"/>
  <c r="I72" i="14"/>
  <c r="J72" i="14"/>
  <c r="K72" i="14"/>
  <c r="E73" i="14"/>
  <c r="F73" i="14"/>
  <c r="G73" i="14"/>
  <c r="G96" i="14" s="1"/>
  <c r="H73" i="14"/>
  <c r="I73" i="14"/>
  <c r="J73" i="14"/>
  <c r="K73" i="14"/>
  <c r="E74" i="14"/>
  <c r="F74" i="14"/>
  <c r="G74" i="14"/>
  <c r="H74" i="14"/>
  <c r="I74" i="14"/>
  <c r="J74" i="14"/>
  <c r="K74" i="14"/>
  <c r="E75" i="14"/>
  <c r="F75" i="14"/>
  <c r="G75" i="14"/>
  <c r="H75" i="14"/>
  <c r="I75" i="14"/>
  <c r="J75" i="14"/>
  <c r="K75" i="14"/>
  <c r="E76" i="14"/>
  <c r="F76" i="14"/>
  <c r="G76" i="14"/>
  <c r="H76" i="14"/>
  <c r="I76" i="14"/>
  <c r="J76" i="14"/>
  <c r="K76" i="14"/>
  <c r="E77" i="14"/>
  <c r="F77" i="14"/>
  <c r="G77" i="14"/>
  <c r="H77" i="14"/>
  <c r="I77" i="14"/>
  <c r="J77" i="14"/>
  <c r="K77" i="14"/>
  <c r="E78" i="14"/>
  <c r="F78" i="14"/>
  <c r="G78" i="14"/>
  <c r="H78" i="14"/>
  <c r="I78" i="14"/>
  <c r="J78" i="14"/>
  <c r="K78" i="14"/>
  <c r="E79" i="14"/>
  <c r="F79" i="14"/>
  <c r="G79" i="14"/>
  <c r="H79" i="14"/>
  <c r="I79" i="14"/>
  <c r="J79" i="14"/>
  <c r="K79" i="14"/>
  <c r="E80" i="14"/>
  <c r="F80" i="14"/>
  <c r="G80" i="14"/>
  <c r="H80" i="14"/>
  <c r="I80" i="14"/>
  <c r="J80" i="14"/>
  <c r="K80" i="14"/>
  <c r="E81" i="14"/>
  <c r="F81" i="14"/>
  <c r="G81" i="14"/>
  <c r="H81" i="14"/>
  <c r="I81" i="14"/>
  <c r="J81" i="14"/>
  <c r="K81" i="14"/>
  <c r="E82" i="14"/>
  <c r="F82" i="14"/>
  <c r="G82" i="14"/>
  <c r="H82" i="14"/>
  <c r="I82" i="14"/>
  <c r="J82" i="14"/>
  <c r="K82" i="14"/>
  <c r="E83" i="14"/>
  <c r="F83" i="14"/>
  <c r="G83" i="14"/>
  <c r="H83" i="14"/>
  <c r="I83" i="14"/>
  <c r="J83" i="14"/>
  <c r="K83" i="14"/>
  <c r="E84" i="14"/>
  <c r="F84" i="14"/>
  <c r="G84" i="14"/>
  <c r="H84" i="14"/>
  <c r="I84" i="14"/>
  <c r="J84" i="14"/>
  <c r="K84" i="14"/>
  <c r="E85" i="14"/>
  <c r="F85" i="14"/>
  <c r="G85" i="14"/>
  <c r="H85" i="14"/>
  <c r="I85" i="14"/>
  <c r="J85" i="14"/>
  <c r="K85" i="14"/>
  <c r="E86" i="14"/>
  <c r="F86" i="14"/>
  <c r="G86" i="14"/>
  <c r="H86" i="14"/>
  <c r="I86" i="14"/>
  <c r="J86" i="14"/>
  <c r="K86" i="14"/>
  <c r="E87" i="14"/>
  <c r="F87" i="14"/>
  <c r="G87" i="14"/>
  <c r="H87" i="14"/>
  <c r="I87" i="14"/>
  <c r="J87" i="14"/>
  <c r="K87" i="14"/>
  <c r="E88" i="14"/>
  <c r="F88" i="14"/>
  <c r="G88" i="14"/>
  <c r="H88" i="14"/>
  <c r="I88" i="14"/>
  <c r="J88" i="14"/>
  <c r="K88" i="14"/>
  <c r="E89" i="14"/>
  <c r="F89" i="14"/>
  <c r="G89" i="14"/>
  <c r="H89" i="14"/>
  <c r="I89" i="14"/>
  <c r="J89" i="14"/>
  <c r="K89" i="14"/>
  <c r="F90" i="14"/>
  <c r="G90" i="14"/>
  <c r="H90" i="14"/>
  <c r="I90" i="14"/>
  <c r="J90" i="14"/>
  <c r="K90" i="14"/>
  <c r="E91" i="14"/>
  <c r="F91" i="14"/>
  <c r="G91" i="14"/>
  <c r="H91" i="14"/>
  <c r="I91" i="14"/>
  <c r="J91" i="14"/>
  <c r="K91" i="14"/>
  <c r="E92" i="14"/>
  <c r="F92" i="14"/>
  <c r="G92" i="14"/>
  <c r="H92" i="14"/>
  <c r="I92" i="14"/>
  <c r="J92" i="14"/>
  <c r="K92" i="14"/>
  <c r="E93" i="14"/>
  <c r="F93" i="14"/>
  <c r="G93" i="14"/>
  <c r="H93" i="14"/>
  <c r="I93" i="14"/>
  <c r="J93" i="14"/>
  <c r="K93" i="14"/>
  <c r="E94" i="14"/>
  <c r="F94" i="14"/>
  <c r="G94" i="14"/>
  <c r="H94" i="14"/>
  <c r="I94" i="14"/>
  <c r="J94" i="14"/>
  <c r="K94" i="14"/>
  <c r="E95" i="14"/>
  <c r="F95" i="14"/>
  <c r="G95" i="14"/>
  <c r="H95" i="14"/>
  <c r="I95" i="14"/>
  <c r="J95" i="14"/>
  <c r="K95" i="14"/>
  <c r="D37" i="14"/>
  <c r="D38" i="14"/>
  <c r="L38" i="14" s="1"/>
  <c r="D39" i="14"/>
  <c r="L39" i="14" s="1"/>
  <c r="D40" i="14"/>
  <c r="L40" i="14" s="1"/>
  <c r="D41" i="14"/>
  <c r="D42" i="14"/>
  <c r="L42" i="14"/>
  <c r="D43" i="14"/>
  <c r="L43" i="14" s="1"/>
  <c r="D44" i="14"/>
  <c r="D45" i="14"/>
  <c r="L45" i="14"/>
  <c r="D46" i="14"/>
  <c r="L46" i="14"/>
  <c r="D47" i="14"/>
  <c r="D48" i="14"/>
  <c r="L48" i="14"/>
  <c r="D49" i="14"/>
  <c r="L49" i="14" s="1"/>
  <c r="M49" i="14" s="1"/>
  <c r="D50" i="14"/>
  <c r="D51" i="14"/>
  <c r="L51" i="14" s="1"/>
  <c r="M51" i="14" s="1"/>
  <c r="D52" i="14"/>
  <c r="D53" i="14"/>
  <c r="L53" i="14" s="1"/>
  <c r="D54" i="14"/>
  <c r="L54" i="14" s="1"/>
  <c r="D55" i="14"/>
  <c r="D56" i="14"/>
  <c r="L56" i="14"/>
  <c r="D57" i="14"/>
  <c r="M57" i="14" s="1"/>
  <c r="L57" i="14"/>
  <c r="D58" i="14"/>
  <c r="D59" i="14"/>
  <c r="L59" i="14" s="1"/>
  <c r="D60" i="14"/>
  <c r="L60" i="14"/>
  <c r="M60" i="14"/>
  <c r="D61" i="14"/>
  <c r="L61" i="14" s="1"/>
  <c r="F5" i="11"/>
  <c r="D22" i="7"/>
  <c r="F16" i="11"/>
  <c r="K62" i="14"/>
  <c r="J62" i="14"/>
  <c r="I62" i="14"/>
  <c r="H62" i="14"/>
  <c r="G62" i="14"/>
  <c r="F62" i="14"/>
  <c r="E62" i="14"/>
  <c r="C62" i="14"/>
  <c r="B62" i="14"/>
  <c r="B1" i="14"/>
  <c r="B1" i="13"/>
  <c r="B1" i="12"/>
  <c r="B1" i="7"/>
  <c r="L20" i="10"/>
  <c r="K2" i="17"/>
  <c r="L17" i="10"/>
  <c r="D93" i="14"/>
  <c r="L93" i="14" s="1"/>
  <c r="D79" i="14"/>
  <c r="L79" i="14"/>
  <c r="L24" i="10"/>
  <c r="L15" i="10"/>
  <c r="L14" i="10"/>
  <c r="R13" i="10"/>
  <c r="D74" i="14"/>
  <c r="R15" i="10"/>
  <c r="R25" i="10"/>
  <c r="M22" i="10"/>
  <c r="L37" i="14"/>
  <c r="M37" i="14"/>
  <c r="L12" i="10"/>
  <c r="M56" i="14"/>
  <c r="W14" i="10"/>
  <c r="R26" i="10"/>
  <c r="D91" i="14"/>
  <c r="R19" i="10"/>
  <c r="V28" i="10"/>
  <c r="L28" i="10"/>
  <c r="S23" i="10"/>
  <c r="S21" i="10"/>
  <c r="L19" i="10"/>
  <c r="W24" i="10"/>
  <c r="L21" i="10"/>
  <c r="W16" i="10"/>
  <c r="D27" i="10"/>
  <c r="E27" i="10"/>
  <c r="I27" i="10"/>
  <c r="G27" i="10"/>
  <c r="Q27" i="10"/>
  <c r="H27" i="10"/>
  <c r="C27" i="10"/>
  <c r="K27" i="10"/>
  <c r="U27" i="10"/>
  <c r="G35" i="23" l="1"/>
  <c r="F41" i="23"/>
  <c r="G41" i="23" s="1"/>
  <c r="W18" i="10"/>
  <c r="V18" i="10"/>
  <c r="C65" i="8"/>
  <c r="F65" i="8" s="1"/>
  <c r="G65" i="8" s="1"/>
  <c r="F63" i="8"/>
  <c r="M89" i="14"/>
  <c r="F18" i="23"/>
  <c r="G18" i="23" s="1"/>
  <c r="C60" i="23"/>
  <c r="L87" i="14"/>
  <c r="M87" i="14" s="1"/>
  <c r="R17" i="10"/>
  <c r="M46" i="14"/>
  <c r="L94" i="14"/>
  <c r="D75" i="14"/>
  <c r="D71" i="14"/>
  <c r="K67" i="8"/>
  <c r="N67" i="8" s="1"/>
  <c r="O67" i="8" s="1"/>
  <c r="M23" i="10"/>
  <c r="W17" i="10"/>
  <c r="S24" i="10"/>
  <c r="L25" i="10"/>
  <c r="M45" i="14"/>
  <c r="M40" i="14"/>
  <c r="I96" i="14"/>
  <c r="D90" i="14"/>
  <c r="L90" i="14" s="1"/>
  <c r="D86" i="14"/>
  <c r="D82" i="14"/>
  <c r="S14" i="10"/>
  <c r="K64" i="8"/>
  <c r="N64" i="8" s="1"/>
  <c r="O64" i="8" s="1"/>
  <c r="K41" i="8"/>
  <c r="N41" i="8" s="1"/>
  <c r="O41" i="8" s="1"/>
  <c r="O13" i="8"/>
  <c r="G19" i="8"/>
  <c r="O37" i="8"/>
  <c r="S28" i="10"/>
  <c r="L18" i="10"/>
  <c r="D85" i="14"/>
  <c r="L85" i="14" s="1"/>
  <c r="M85" i="14" s="1"/>
  <c r="J53" i="22"/>
  <c r="G68" i="22"/>
  <c r="G170" i="19"/>
  <c r="M61" i="14"/>
  <c r="M54" i="14"/>
  <c r="M43" i="14"/>
  <c r="I17" i="19"/>
  <c r="K11" i="21"/>
  <c r="L74" i="14"/>
  <c r="M74" i="14" s="1"/>
  <c r="M48" i="14"/>
  <c r="L89" i="14"/>
  <c r="D92" i="14"/>
  <c r="L92" i="14" s="1"/>
  <c r="D84" i="14"/>
  <c r="L84" i="14" s="1"/>
  <c r="D77" i="14"/>
  <c r="D73" i="14"/>
  <c r="D96" i="14" s="1"/>
  <c r="S29" i="10"/>
  <c r="S12" i="10"/>
  <c r="G61" i="22"/>
  <c r="H61" i="22" s="1"/>
  <c r="M53" i="14"/>
  <c r="M39" i="14"/>
  <c r="E96" i="14"/>
  <c r="L88" i="14"/>
  <c r="M88" i="14" s="1"/>
  <c r="L80" i="14"/>
  <c r="M80" i="14" s="1"/>
  <c r="C96" i="14"/>
  <c r="G25" i="8"/>
  <c r="G67" i="8"/>
  <c r="F143" i="19"/>
  <c r="C55" i="19"/>
  <c r="F55" i="19" s="1"/>
  <c r="G55" i="19" s="1"/>
  <c r="W22" i="10"/>
  <c r="V22" i="10"/>
  <c r="L55" i="14"/>
  <c r="M55" i="14" s="1"/>
  <c r="L47" i="14"/>
  <c r="M47" i="14" s="1"/>
  <c r="L86" i="14"/>
  <c r="M86" i="14" s="1"/>
  <c r="L82" i="14"/>
  <c r="M82" i="14" s="1"/>
  <c r="M26" i="10"/>
  <c r="L26" i="10"/>
  <c r="W20" i="10"/>
  <c r="V20" i="10"/>
  <c r="M13" i="10"/>
  <c r="L13" i="10"/>
  <c r="F38" i="8"/>
  <c r="C39" i="8"/>
  <c r="F39" i="8" s="1"/>
  <c r="G39" i="8" s="1"/>
  <c r="G141" i="23"/>
  <c r="F144" i="23"/>
  <c r="H124" i="22"/>
  <c r="G123" i="22"/>
  <c r="M38" i="14"/>
  <c r="M59" i="14"/>
  <c r="L44" i="14"/>
  <c r="M44" i="14"/>
  <c r="D62" i="14"/>
  <c r="M29" i="10"/>
  <c r="L29" i="10"/>
  <c r="G12" i="8"/>
  <c r="F29" i="8"/>
  <c r="G29" i="8" s="1"/>
  <c r="F79" i="8"/>
  <c r="G79" i="8" s="1"/>
  <c r="G76" i="8"/>
  <c r="G57" i="8"/>
  <c r="F59" i="8"/>
  <c r="G59" i="8" s="1"/>
  <c r="G11" i="23"/>
  <c r="F26" i="23"/>
  <c r="G26" i="23" s="1"/>
  <c r="H117" i="22"/>
  <c r="G116" i="22"/>
  <c r="F33" i="19"/>
  <c r="B96" i="14"/>
  <c r="M83" i="14"/>
  <c r="L91" i="14"/>
  <c r="M91" i="14" s="1"/>
  <c r="L81" i="14"/>
  <c r="M81" i="14" s="1"/>
  <c r="M93" i="14"/>
  <c r="L58" i="14"/>
  <c r="M58" i="14" s="1"/>
  <c r="M42" i="14"/>
  <c r="W19" i="10"/>
  <c r="V19" i="10"/>
  <c r="F32" i="23"/>
  <c r="G32" i="23" s="1"/>
  <c r="G10" i="22"/>
  <c r="H11" i="22"/>
  <c r="B8" i="15"/>
  <c r="C9" i="15"/>
  <c r="F53" i="8"/>
  <c r="G53" i="8" s="1"/>
  <c r="G48" i="8"/>
  <c r="C128" i="23"/>
  <c r="F128" i="23" s="1"/>
  <c r="G128" i="23" s="1"/>
  <c r="C111" i="23"/>
  <c r="F111" i="23" s="1"/>
  <c r="G111" i="23" s="1"/>
  <c r="F79" i="23"/>
  <c r="C124" i="23"/>
  <c r="F124" i="23" s="1"/>
  <c r="G124" i="23" s="1"/>
  <c r="C110" i="23"/>
  <c r="F110" i="23" s="1"/>
  <c r="G110" i="23" s="1"/>
  <c r="C132" i="23"/>
  <c r="F132" i="23" s="1"/>
  <c r="G132" i="23" s="1"/>
  <c r="C92" i="23"/>
  <c r="F92" i="23" s="1"/>
  <c r="C80" i="23"/>
  <c r="F80" i="23" s="1"/>
  <c r="G80" i="23" s="1"/>
  <c r="C123" i="23"/>
  <c r="F123" i="23" s="1"/>
  <c r="G123" i="23" s="1"/>
  <c r="C113" i="23"/>
  <c r="F113" i="23" s="1"/>
  <c r="G113" i="23" s="1"/>
  <c r="F60" i="23"/>
  <c r="I60" i="23"/>
  <c r="J61" i="23" s="1"/>
  <c r="M90" i="14"/>
  <c r="M79" i="14"/>
  <c r="L52" i="14"/>
  <c r="M52" i="14"/>
  <c r="V25" i="10"/>
  <c r="W25" i="10"/>
  <c r="V12" i="10"/>
  <c r="W12" i="10"/>
  <c r="V15" i="10"/>
  <c r="L72" i="14"/>
  <c r="M72" i="14" s="1"/>
  <c r="L95" i="14"/>
  <c r="M95" i="14"/>
  <c r="L50" i="14"/>
  <c r="M50" i="14" s="1"/>
  <c r="L41" i="14"/>
  <c r="M41" i="14" s="1"/>
  <c r="H96" i="14"/>
  <c r="K96" i="14"/>
  <c r="J96" i="14"/>
  <c r="F96" i="14"/>
  <c r="M94" i="14"/>
  <c r="M92" i="14"/>
  <c r="M84" i="14"/>
  <c r="M78" i="14"/>
  <c r="L77" i="14"/>
  <c r="M77" i="14" s="1"/>
  <c r="L75" i="14"/>
  <c r="M75" i="14" s="1"/>
  <c r="L73" i="14"/>
  <c r="M73" i="14" s="1"/>
  <c r="L71" i="14"/>
  <c r="M71" i="14" s="1"/>
  <c r="W21" i="10"/>
  <c r="V21" i="10"/>
  <c r="O25" i="8"/>
  <c r="N21" i="8"/>
  <c r="O21" i="8" s="1"/>
  <c r="O19" i="8"/>
  <c r="H31" i="22"/>
  <c r="J31" i="22"/>
  <c r="H75" i="22"/>
  <c r="G71" i="22"/>
  <c r="F65" i="19"/>
  <c r="G66" i="19"/>
  <c r="I109" i="19"/>
  <c r="G109" i="19"/>
  <c r="F44" i="19"/>
  <c r="G45" i="19"/>
  <c r="N78" i="8"/>
  <c r="G62" i="8"/>
  <c r="K45" i="8"/>
  <c r="N45" i="8" s="1"/>
  <c r="O45" i="8" s="1"/>
  <c r="K32" i="8"/>
  <c r="N32" i="8" s="1"/>
  <c r="K61" i="8"/>
  <c r="N61" i="8" s="1"/>
  <c r="O61" i="8" s="1"/>
  <c r="O44" i="8"/>
  <c r="G40" i="8"/>
  <c r="G11" i="8"/>
  <c r="G23" i="8"/>
  <c r="G56" i="8"/>
  <c r="G26" i="8"/>
  <c r="G37" i="22"/>
  <c r="G143" i="19"/>
  <c r="F137" i="19"/>
  <c r="G138" i="19"/>
  <c r="C38" i="19"/>
  <c r="F37" i="19"/>
  <c r="E107" i="19"/>
  <c r="F107" i="19" s="1"/>
  <c r="G107" i="19" s="1"/>
  <c r="G71" i="19"/>
  <c r="G51" i="19"/>
  <c r="F49" i="19"/>
  <c r="G49" i="19" s="1"/>
  <c r="F35" i="8"/>
  <c r="G35" i="8" s="1"/>
  <c r="G32" i="8"/>
  <c r="O27" i="8"/>
  <c r="O36" i="8"/>
  <c r="K56" i="8"/>
  <c r="N56" i="8" s="1"/>
  <c r="O56" i="8" s="1"/>
  <c r="K62" i="8"/>
  <c r="N62" i="8" s="1"/>
  <c r="O62" i="8" s="1"/>
  <c r="K42" i="8"/>
  <c r="N42" i="8" s="1"/>
  <c r="O42" i="8" s="1"/>
  <c r="O59" i="8"/>
  <c r="O35" i="8"/>
  <c r="G51" i="8"/>
  <c r="F49" i="23"/>
  <c r="G49" i="23" s="1"/>
  <c r="G42" i="22"/>
  <c r="F151" i="19"/>
  <c r="C166" i="19"/>
  <c r="F166" i="19" s="1"/>
  <c r="G166" i="19" s="1"/>
  <c r="H54" i="22"/>
  <c r="C144" i="19"/>
  <c r="F144" i="19" s="1"/>
  <c r="G144" i="19" s="1"/>
  <c r="G155" i="19"/>
  <c r="F154" i="19"/>
  <c r="G154" i="19" s="1"/>
  <c r="G22" i="22"/>
  <c r="G178" i="19"/>
  <c r="E212" i="19"/>
  <c r="F212" i="19" s="1"/>
  <c r="J118" i="21"/>
  <c r="J120" i="21" s="1"/>
  <c r="I120" i="21"/>
  <c r="K85" i="21"/>
  <c r="F126" i="19"/>
  <c r="G126" i="19" s="1"/>
  <c r="C64" i="21"/>
  <c r="K64" i="21" s="1"/>
  <c r="K63" i="21" s="1"/>
  <c r="C73" i="21"/>
  <c r="K73" i="21" s="1"/>
  <c r="H123" i="21"/>
  <c r="H124" i="21" s="1"/>
  <c r="H126" i="21" s="1"/>
  <c r="H128" i="21" s="1"/>
  <c r="I121" i="21"/>
  <c r="I122" i="21" s="1"/>
  <c r="C109" i="21"/>
  <c r="K109" i="21" s="1"/>
  <c r="C61" i="21"/>
  <c r="K61" i="21" s="1"/>
  <c r="C81" i="21"/>
  <c r="K81" i="21" s="1"/>
  <c r="K80" i="21" s="1"/>
  <c r="C107" i="21"/>
  <c r="K107" i="21" s="1"/>
  <c r="C75" i="21"/>
  <c r="K75" i="21" s="1"/>
  <c r="C99" i="21"/>
  <c r="K99" i="21" s="1"/>
  <c r="K16" i="21"/>
  <c r="F93" i="21"/>
  <c r="K93" i="21" s="1"/>
  <c r="C58" i="19"/>
  <c r="F58" i="19" s="1"/>
  <c r="G58" i="19" s="1"/>
  <c r="C163" i="19"/>
  <c r="F163" i="19" s="1"/>
  <c r="C78" i="21"/>
  <c r="K78" i="21" s="1"/>
  <c r="K77" i="21" s="1"/>
  <c r="C101" i="21"/>
  <c r="K101" i="21" s="1"/>
  <c r="E102" i="21"/>
  <c r="E116" i="21" s="1"/>
  <c r="E120" i="21" s="1"/>
  <c r="E121" i="21" s="1"/>
  <c r="E122" i="21" s="1"/>
  <c r="C103" i="21"/>
  <c r="K103" i="21" s="1"/>
  <c r="C27" i="21"/>
  <c r="K27" i="21" s="1"/>
  <c r="K104" i="21"/>
  <c r="C89" i="21"/>
  <c r="K89" i="21" s="1"/>
  <c r="C56" i="21"/>
  <c r="K56" i="21" s="1"/>
  <c r="K55" i="21" s="1"/>
  <c r="C57" i="21"/>
  <c r="K57" i="21" s="1"/>
  <c r="I16" i="18"/>
  <c r="C25" i="21"/>
  <c r="K25" i="21" s="1"/>
  <c r="F96" i="21"/>
  <c r="K96" i="21" s="1"/>
  <c r="F25" i="19"/>
  <c r="G25" i="19" s="1"/>
  <c r="B121" i="21"/>
  <c r="B122" i="21" s="1"/>
  <c r="K100" i="21"/>
  <c r="F21" i="19"/>
  <c r="I21" i="19" s="1"/>
  <c r="C132" i="19"/>
  <c r="F132" i="19" s="1"/>
  <c r="F131" i="19" s="1"/>
  <c r="C84" i="21"/>
  <c r="K84" i="21" s="1"/>
  <c r="K82" i="21"/>
  <c r="G121" i="21"/>
  <c r="G122" i="21" s="1"/>
  <c r="K65" i="21"/>
  <c r="K90" i="21"/>
  <c r="K66" i="21"/>
  <c r="F95" i="21"/>
  <c r="K95" i="21" s="1"/>
  <c r="C74" i="21"/>
  <c r="K74" i="21" s="1"/>
  <c r="G12" i="19"/>
  <c r="F11" i="19"/>
  <c r="F28" i="19"/>
  <c r="C118" i="19"/>
  <c r="F118" i="19" s="1"/>
  <c r="G11" i="18"/>
  <c r="G16" i="18"/>
  <c r="G29" i="18"/>
  <c r="D72" i="21"/>
  <c r="G14" i="18"/>
  <c r="C22" i="21"/>
  <c r="K22" i="21" s="1"/>
  <c r="C21" i="21"/>
  <c r="M27" i="10"/>
  <c r="L27" i="10"/>
  <c r="E30" i="10"/>
  <c r="I30" i="10"/>
  <c r="Q30" i="10"/>
  <c r="K30" i="10"/>
  <c r="S27" i="10"/>
  <c r="G30" i="10"/>
  <c r="R27" i="10"/>
  <c r="D30" i="10"/>
  <c r="C30" i="10"/>
  <c r="U30" i="10"/>
  <c r="H30" i="10"/>
  <c r="F73" i="8" l="1"/>
  <c r="G73" i="8" s="1"/>
  <c r="G63" i="8"/>
  <c r="H68" i="22"/>
  <c r="J68" i="22"/>
  <c r="F141" i="19"/>
  <c r="W23" i="10"/>
  <c r="V23" i="10"/>
  <c r="J61" i="22"/>
  <c r="J121" i="21"/>
  <c r="J122" i="21" s="1"/>
  <c r="G212" i="19"/>
  <c r="F174" i="19"/>
  <c r="G151" i="19"/>
  <c r="F149" i="19"/>
  <c r="F69" i="19"/>
  <c r="J37" i="22"/>
  <c r="H37" i="22"/>
  <c r="O32" i="8"/>
  <c r="M68" i="8"/>
  <c r="N68" i="8" s="1"/>
  <c r="O68" i="8" s="1"/>
  <c r="N70" i="8"/>
  <c r="O70" i="8" s="1"/>
  <c r="J116" i="22"/>
  <c r="H116" i="22"/>
  <c r="H123" i="22"/>
  <c r="J123" i="22"/>
  <c r="G33" i="19"/>
  <c r="I33" i="19"/>
  <c r="V29" i="10"/>
  <c r="W29" i="10"/>
  <c r="L62" i="14"/>
  <c r="W13" i="10"/>
  <c r="V13" i="10"/>
  <c r="F125" i="19"/>
  <c r="G125" i="19" s="1"/>
  <c r="J42" i="22"/>
  <c r="H42" i="22"/>
  <c r="G137" i="19"/>
  <c r="I137" i="19"/>
  <c r="G44" i="19"/>
  <c r="I44" i="19"/>
  <c r="I65" i="19"/>
  <c r="G65" i="19"/>
  <c r="F68" i="23"/>
  <c r="G68" i="23" s="1"/>
  <c r="G60" i="23"/>
  <c r="E133" i="23"/>
  <c r="F133" i="23" s="1"/>
  <c r="G133" i="23" s="1"/>
  <c r="G92" i="23"/>
  <c r="F83" i="23"/>
  <c r="G83" i="23" s="1"/>
  <c r="G79" i="23"/>
  <c r="H10" i="22"/>
  <c r="J10" i="22"/>
  <c r="G129" i="22"/>
  <c r="G38" i="8"/>
  <c r="F45" i="8"/>
  <c r="G45" i="8" s="1"/>
  <c r="C42" i="19"/>
  <c r="F42" i="19" s="1"/>
  <c r="G42" i="19" s="1"/>
  <c r="F38" i="19"/>
  <c r="G38" i="19" s="1"/>
  <c r="C39" i="19"/>
  <c r="F39" i="19" s="1"/>
  <c r="G39" i="19" s="1"/>
  <c r="O78" i="8"/>
  <c r="V26" i="10"/>
  <c r="W26" i="10"/>
  <c r="H22" i="22"/>
  <c r="J22" i="22"/>
  <c r="G37" i="19"/>
  <c r="I141" i="19"/>
  <c r="G141" i="19"/>
  <c r="H71" i="22"/>
  <c r="J71" i="22"/>
  <c r="L96" i="14"/>
  <c r="M96" i="14" s="1"/>
  <c r="C10" i="15"/>
  <c r="B9" i="15"/>
  <c r="M62" i="14"/>
  <c r="G144" i="23"/>
  <c r="I10" i="18"/>
  <c r="F53" i="19"/>
  <c r="G53" i="19" s="1"/>
  <c r="G13" i="18"/>
  <c r="I13" i="18"/>
  <c r="I123" i="21"/>
  <c r="I124" i="21" s="1"/>
  <c r="I126" i="21" s="1"/>
  <c r="I128" i="21" s="1"/>
  <c r="H129" i="21"/>
  <c r="H130" i="21" s="1"/>
  <c r="K102" i="21"/>
  <c r="G163" i="19"/>
  <c r="F158" i="19"/>
  <c r="I158" i="19" s="1"/>
  <c r="C63" i="19"/>
  <c r="F63" i="19" s="1"/>
  <c r="G63" i="19" s="1"/>
  <c r="C59" i="19"/>
  <c r="F59" i="19" s="1"/>
  <c r="G59" i="19" s="1"/>
  <c r="G21" i="19"/>
  <c r="C164" i="19"/>
  <c r="F164" i="19" s="1"/>
  <c r="G164" i="19" s="1"/>
  <c r="C168" i="19"/>
  <c r="F168" i="19" s="1"/>
  <c r="G168" i="19" s="1"/>
  <c r="G132" i="19"/>
  <c r="B123" i="21"/>
  <c r="B124" i="21" s="1"/>
  <c r="B126" i="21" s="1"/>
  <c r="B128" i="21" s="1"/>
  <c r="E123" i="21"/>
  <c r="E124" i="21" s="1"/>
  <c r="E126" i="21" s="1"/>
  <c r="E128" i="21" s="1"/>
  <c r="I28" i="18"/>
  <c r="G28" i="18"/>
  <c r="G123" i="21"/>
  <c r="G124" i="21" s="1"/>
  <c r="G126" i="21" s="1"/>
  <c r="G128" i="21" s="1"/>
  <c r="F116" i="21"/>
  <c r="F120" i="21" s="1"/>
  <c r="F121" i="21" s="1"/>
  <c r="F122" i="21" s="1"/>
  <c r="G11" i="19"/>
  <c r="I11" i="19"/>
  <c r="F117" i="19"/>
  <c r="G118" i="19"/>
  <c r="I131" i="19"/>
  <c r="G131" i="19"/>
  <c r="G28" i="19"/>
  <c r="F27" i="19"/>
  <c r="K72" i="21"/>
  <c r="K71" i="21" s="1"/>
  <c r="D116" i="21"/>
  <c r="G10" i="18"/>
  <c r="C116" i="21"/>
  <c r="K21" i="21"/>
  <c r="K14" i="21" s="1"/>
  <c r="X12" i="10"/>
  <c r="X14" i="10"/>
  <c r="X19" i="10"/>
  <c r="X22" i="10"/>
  <c r="X26" i="10"/>
  <c r="X15" i="10"/>
  <c r="X24" i="10"/>
  <c r="X13" i="10"/>
  <c r="X29" i="10"/>
  <c r="X25" i="10"/>
  <c r="X28" i="10"/>
  <c r="X18" i="10"/>
  <c r="X23" i="10"/>
  <c r="X20" i="10"/>
  <c r="X17" i="10"/>
  <c r="X21" i="10"/>
  <c r="X16" i="10"/>
  <c r="F20" i="10"/>
  <c r="F15" i="10"/>
  <c r="F21" i="10"/>
  <c r="F18" i="10"/>
  <c r="F28" i="10"/>
  <c r="F24" i="10"/>
  <c r="F23" i="10"/>
  <c r="F29" i="10"/>
  <c r="F22" i="10"/>
  <c r="F13" i="10"/>
  <c r="F25" i="10"/>
  <c r="F16" i="10"/>
  <c r="F26" i="10"/>
  <c r="F12" i="10"/>
  <c r="F14" i="10"/>
  <c r="F19" i="10"/>
  <c r="F17" i="10"/>
  <c r="N25" i="10"/>
  <c r="N13" i="10"/>
  <c r="N12" i="10"/>
  <c r="N15" i="10"/>
  <c r="N23" i="10"/>
  <c r="N28" i="10"/>
  <c r="N26" i="10"/>
  <c r="N17" i="10"/>
  <c r="N21" i="10"/>
  <c r="N19" i="10"/>
  <c r="N29" i="10"/>
  <c r="N16" i="10"/>
  <c r="N20" i="10"/>
  <c r="N24" i="10"/>
  <c r="N22" i="10"/>
  <c r="N18" i="10"/>
  <c r="N14" i="10"/>
  <c r="T28" i="10"/>
  <c r="T21" i="10"/>
  <c r="T16" i="10"/>
  <c r="T20" i="10"/>
  <c r="T22" i="10"/>
  <c r="T23" i="10"/>
  <c r="T12" i="10"/>
  <c r="T25" i="10"/>
  <c r="T18" i="10"/>
  <c r="T14" i="10"/>
  <c r="T26" i="10"/>
  <c r="T24" i="10"/>
  <c r="T19" i="10"/>
  <c r="T17" i="10"/>
  <c r="T13" i="10"/>
  <c r="T15" i="10"/>
  <c r="T29" i="10"/>
  <c r="J13" i="10"/>
  <c r="J24" i="10"/>
  <c r="J12" i="10"/>
  <c r="J14" i="10"/>
  <c r="J23" i="10"/>
  <c r="J29" i="10"/>
  <c r="J19" i="10"/>
  <c r="J20" i="10"/>
  <c r="J26" i="10"/>
  <c r="J28" i="10"/>
  <c r="J22" i="10"/>
  <c r="J18" i="10"/>
  <c r="J17" i="10"/>
  <c r="J15" i="10"/>
  <c r="J25" i="10"/>
  <c r="J21" i="10"/>
  <c r="J16" i="10"/>
  <c r="F27" i="10"/>
  <c r="W27" i="10"/>
  <c r="T27" i="10"/>
  <c r="S30" i="10"/>
  <c r="N27" i="10"/>
  <c r="V27" i="10"/>
  <c r="X27" i="10"/>
  <c r="R30" i="10"/>
  <c r="L30" i="10"/>
  <c r="M30" i="10"/>
  <c r="J27" i="10"/>
  <c r="F135" i="23" l="1"/>
  <c r="G135" i="23" s="1"/>
  <c r="J123" i="21"/>
  <c r="J124" i="21" s="1"/>
  <c r="J126" i="21" s="1"/>
  <c r="J128" i="21" s="1"/>
  <c r="G174" i="19"/>
  <c r="I174" i="19"/>
  <c r="F36" i="19"/>
  <c r="G130" i="22"/>
  <c r="H130" i="22" s="1"/>
  <c r="H129" i="22"/>
  <c r="G69" i="19"/>
  <c r="I69" i="19"/>
  <c r="I53" i="19"/>
  <c r="F146" i="23"/>
  <c r="G146" i="23" s="1"/>
  <c r="C11" i="15"/>
  <c r="B10" i="15"/>
  <c r="G149" i="19"/>
  <c r="I149" i="19"/>
  <c r="I125" i="19"/>
  <c r="N80" i="8"/>
  <c r="O80" i="8" s="1"/>
  <c r="I129" i="21"/>
  <c r="I130" i="21" s="1"/>
  <c r="H131" i="21"/>
  <c r="H132" i="21" s="1"/>
  <c r="G158" i="19"/>
  <c r="B129" i="21"/>
  <c r="B130" i="21" s="1"/>
  <c r="E129" i="21"/>
  <c r="E130" i="21" s="1"/>
  <c r="G129" i="21"/>
  <c r="G130" i="21" s="1"/>
  <c r="F123" i="21"/>
  <c r="F124" i="21" s="1"/>
  <c r="F126" i="21" s="1"/>
  <c r="F128" i="21" s="1"/>
  <c r="K116" i="21"/>
  <c r="K120" i="21" s="1"/>
  <c r="K121" i="21" s="1"/>
  <c r="K122" i="21" s="1"/>
  <c r="I27" i="19"/>
  <c r="G27" i="19"/>
  <c r="F112" i="19"/>
  <c r="F214" i="19"/>
  <c r="G117" i="19"/>
  <c r="I117" i="19"/>
  <c r="N117" i="21"/>
  <c r="D120" i="21"/>
  <c r="O117" i="21"/>
  <c r="C120" i="21"/>
  <c r="C121" i="21" s="1"/>
  <c r="C122" i="21" s="1"/>
  <c r="C123" i="21" s="1"/>
  <c r="N116" i="21"/>
  <c r="W30" i="10"/>
  <c r="F30" i="10"/>
  <c r="X30" i="10"/>
  <c r="T30" i="10"/>
  <c r="J30" i="10"/>
  <c r="N30" i="10"/>
  <c r="V30" i="10"/>
  <c r="J129" i="21" l="1"/>
  <c r="J130" i="21"/>
  <c r="B11" i="15"/>
  <c r="C12" i="15"/>
  <c r="I36" i="19"/>
  <c r="G36" i="19"/>
  <c r="H133" i="21"/>
  <c r="H135" i="21" s="1"/>
  <c r="I131" i="21"/>
  <c r="I132" i="21" s="1"/>
  <c r="B131" i="21"/>
  <c r="B132" i="21" s="1"/>
  <c r="E131" i="21"/>
  <c r="E132" i="21" s="1"/>
  <c r="G131" i="21"/>
  <c r="G132" i="21" s="1"/>
  <c r="F129" i="21"/>
  <c r="F130" i="21" s="1"/>
  <c r="G112" i="19"/>
  <c r="F113" i="19"/>
  <c r="G113" i="19" s="1"/>
  <c r="F215" i="19"/>
  <c r="G215" i="19" s="1"/>
  <c r="G214" i="19"/>
  <c r="P117" i="21"/>
  <c r="D121" i="21"/>
  <c r="D122" i="21" s="1"/>
  <c r="C124" i="21"/>
  <c r="C126" i="21" s="1"/>
  <c r="C128" i="21" s="1"/>
  <c r="C129" i="21" s="1"/>
  <c r="J131" i="21" l="1"/>
  <c r="J132" i="21" s="1"/>
  <c r="B12" i="15"/>
  <c r="C13" i="15"/>
  <c r="I133" i="21"/>
  <c r="I135" i="21" s="1"/>
  <c r="B133" i="21"/>
  <c r="B135" i="21" s="1"/>
  <c r="E133" i="21"/>
  <c r="E135" i="21" s="1"/>
  <c r="G133" i="21"/>
  <c r="G135" i="21" s="1"/>
  <c r="F131" i="21"/>
  <c r="F132" i="21" s="1"/>
  <c r="D123" i="21"/>
  <c r="K123" i="21" s="1"/>
  <c r="K124" i="21" s="1"/>
  <c r="K126" i="21" s="1"/>
  <c r="K128" i="21" s="1"/>
  <c r="C130" i="21"/>
  <c r="J133" i="21" l="1"/>
  <c r="J135" i="21"/>
  <c r="B13" i="15"/>
  <c r="C14" i="15"/>
  <c r="F133" i="21"/>
  <c r="F135" i="21" s="1"/>
  <c r="D124" i="21"/>
  <c r="D126" i="21" s="1"/>
  <c r="D128" i="21" s="1"/>
  <c r="D129" i="21" s="1"/>
  <c r="K129" i="21" s="1"/>
  <c r="K130" i="21" s="1"/>
  <c r="K131" i="21" s="1"/>
  <c r="K132" i="21" s="1"/>
  <c r="K133" i="21" s="1"/>
  <c r="K135" i="21" s="1"/>
  <c r="C131" i="21"/>
  <c r="C132" i="21" s="1"/>
  <c r="B14" i="15" l="1"/>
  <c r="C15" i="15"/>
  <c r="D130" i="21"/>
  <c r="C133" i="21"/>
  <c r="C135" i="21" s="1"/>
  <c r="C16" i="15" l="1"/>
  <c r="B15" i="15"/>
  <c r="D131" i="21"/>
  <c r="D132" i="21" s="1"/>
  <c r="C17" i="15" l="1"/>
  <c r="B16" i="15"/>
  <c r="D133" i="21"/>
  <c r="D135" i="21" s="1"/>
  <c r="L137" i="21" s="1"/>
  <c r="L138" i="21" s="1"/>
  <c r="B17" i="15" l="1"/>
  <c r="C18" i="15"/>
  <c r="O116" i="21"/>
  <c r="P116" i="21" s="1"/>
  <c r="C19" i="15" l="1"/>
  <c r="B18" i="15"/>
  <c r="G32" i="18"/>
  <c r="C20" i="15" l="1"/>
  <c r="B19" i="15"/>
  <c r="G33" i="18"/>
  <c r="B20" i="15" l="1"/>
  <c r="C21" i="15"/>
  <c r="B21" i="15" l="1"/>
  <c r="C22" i="15"/>
  <c r="B22" i="15" l="1"/>
  <c r="C23" i="15"/>
  <c r="C24" i="15" l="1"/>
  <c r="B23" i="15"/>
  <c r="C25" i="15" l="1"/>
  <c r="B24" i="15"/>
  <c r="B25" i="15" l="1"/>
  <c r="C26" i="15"/>
  <c r="B26" i="15" l="1"/>
  <c r="C27" i="15"/>
  <c r="C28" i="15" l="1"/>
  <c r="B27" i="15"/>
  <c r="B28" i="15" l="1"/>
  <c r="C29" i="15"/>
  <c r="B29" i="15" l="1"/>
  <c r="C30" i="15"/>
  <c r="C31" i="15" l="1"/>
  <c r="B30" i="15"/>
  <c r="C32" i="15" l="1"/>
  <c r="B31" i="15"/>
  <c r="C33" i="15" l="1"/>
  <c r="B32" i="15"/>
  <c r="B33" i="15" l="1"/>
  <c r="C34" i="15"/>
  <c r="B34" i="15" l="1"/>
  <c r="C35" i="15"/>
  <c r="C36" i="15" l="1"/>
  <c r="B35" i="15"/>
  <c r="B36" i="15" l="1"/>
  <c r="C37" i="15"/>
  <c r="B37"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David Holmes</author>
    <author>dm27100</author>
  </authors>
  <commentList>
    <comment ref="E31" authorId="0" shapeId="0" xr:uid="{00000000-0006-0000-0000-000001000000}">
      <text>
        <r>
          <rPr>
            <b/>
            <sz val="8"/>
            <color indexed="81"/>
            <rFont val="Tahoma"/>
            <family val="2"/>
          </rPr>
          <t>David Holmes:</t>
        </r>
        <r>
          <rPr>
            <sz val="8"/>
            <color indexed="81"/>
            <rFont val="Tahoma"/>
            <family val="2"/>
          </rPr>
          <t xml:space="preserve">
Top left Header row 1</t>
        </r>
      </text>
    </comment>
    <comment ref="E32" authorId="0" shapeId="0" xr:uid="{00000000-0006-0000-0000-000002000000}">
      <text>
        <r>
          <rPr>
            <b/>
            <sz val="8"/>
            <color indexed="81"/>
            <rFont val="Tahoma"/>
            <family val="2"/>
          </rPr>
          <t>David Holmes:</t>
        </r>
        <r>
          <rPr>
            <sz val="8"/>
            <color indexed="81"/>
            <rFont val="Tahoma"/>
            <family val="2"/>
          </rPr>
          <t xml:space="preserve">
Top left Header row 2</t>
        </r>
      </text>
    </comment>
    <comment ref="E33" authorId="0" shapeId="0" xr:uid="{00000000-0006-0000-0000-000003000000}">
      <text>
        <r>
          <rPr>
            <b/>
            <sz val="8"/>
            <color indexed="81"/>
            <rFont val="Tahoma"/>
            <family val="2"/>
          </rPr>
          <t>David Holmes:</t>
        </r>
        <r>
          <rPr>
            <sz val="8"/>
            <color indexed="81"/>
            <rFont val="Tahoma"/>
            <family val="2"/>
          </rPr>
          <t xml:space="preserve">
Top left Header row 3</t>
        </r>
      </text>
    </comment>
    <comment ref="E34" authorId="0" shapeId="0" xr:uid="{00000000-0006-0000-0000-000004000000}">
      <text>
        <r>
          <rPr>
            <b/>
            <sz val="8"/>
            <color indexed="81"/>
            <rFont val="Tahoma"/>
            <family val="2"/>
          </rPr>
          <t xml:space="preserve">notes to be read in conjunction:
</t>
        </r>
        <r>
          <rPr>
            <sz val="8"/>
            <color indexed="81"/>
            <rFont val="Tahoma"/>
            <family val="2"/>
          </rPr>
          <t>Select from list or type in your own description</t>
        </r>
        <r>
          <rPr>
            <sz val="8"/>
            <color indexed="81"/>
            <rFont val="Tahoma"/>
            <family val="2"/>
          </rPr>
          <t xml:space="preserve">
</t>
        </r>
      </text>
    </comment>
    <comment ref="E36" authorId="1" shapeId="0" xr:uid="{00000000-0006-0000-0000-000005000000}">
      <text>
        <r>
          <rPr>
            <b/>
            <sz val="8"/>
            <color indexed="81"/>
            <rFont val="Tahoma"/>
            <family val="2"/>
          </rPr>
          <t>Input cell</t>
        </r>
      </text>
    </comment>
    <comment ref="E37" authorId="1" shapeId="0" xr:uid="{00000000-0006-0000-0000-000006000000}">
      <text>
        <r>
          <rPr>
            <b/>
            <sz val="8"/>
            <color indexed="81"/>
            <rFont val="Tahoma"/>
            <family val="2"/>
          </rPr>
          <t>Input cell</t>
        </r>
        <r>
          <rPr>
            <sz val="8"/>
            <color indexed="81"/>
            <rFont val="Tahoma"/>
            <family val="2"/>
          </rPr>
          <t xml:space="preserve">
</t>
        </r>
      </text>
    </comment>
    <comment ref="E38" authorId="1" shapeId="0" xr:uid="{00000000-0006-0000-0000-000007000000}">
      <text>
        <r>
          <rPr>
            <b/>
            <sz val="8"/>
            <color indexed="81"/>
            <rFont val="Tahoma"/>
            <family val="2"/>
          </rPr>
          <t>Input cell</t>
        </r>
        <r>
          <rPr>
            <sz val="8"/>
            <color indexed="81"/>
            <rFont val="Tahoma"/>
            <family val="2"/>
          </rPr>
          <t xml:space="preserve">
</t>
        </r>
      </text>
    </comment>
    <comment ref="E39" authorId="1" shapeId="0" xr:uid="{00000000-0006-0000-0000-000008000000}">
      <text>
        <r>
          <rPr>
            <b/>
            <sz val="8"/>
            <color indexed="81"/>
            <rFont val="Tahoma"/>
            <family val="2"/>
          </rPr>
          <t>Input cell</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 Holmes</author>
  </authors>
  <commentList>
    <comment ref="B1" authorId="0" shapeId="0" xr:uid="{00000000-0006-0000-0800-000001000000}">
      <text>
        <r>
          <rPr>
            <sz val="8"/>
            <color indexed="81"/>
            <rFont val="Tahoma"/>
            <family val="2"/>
          </rPr>
          <t xml:space="preserve">Also chart title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 Holmes</author>
  </authors>
  <commentList>
    <comment ref="B3" authorId="0" shapeId="0" xr:uid="{00000000-0006-0000-0D00-000001000000}">
      <text>
        <r>
          <rPr>
            <b/>
            <sz val="8"/>
            <color indexed="81"/>
            <rFont val="Tahoma"/>
            <family val="2"/>
          </rPr>
          <t xml:space="preserve">Cost Plan:
</t>
        </r>
        <r>
          <rPr>
            <sz val="8"/>
            <color indexed="81"/>
            <rFont val="Tahoma"/>
            <family val="2"/>
          </rPr>
          <t>Enter the Cost Plan element or stage here i.e. Demolition and Enabling Works; Category A Fit Out etc.</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 Holmes</author>
    <author>Darling, Michael</author>
    <author>Primrose, Tom</author>
  </authors>
  <commentList>
    <comment ref="B4" authorId="0" shapeId="0" xr:uid="{00000000-0006-0000-0F00-000001000000}">
      <text>
        <r>
          <rPr>
            <b/>
            <sz val="8"/>
            <color indexed="81"/>
            <rFont val="Tahoma"/>
            <family val="2"/>
          </rPr>
          <t xml:space="preserve">Cost Plan:
</t>
        </r>
        <r>
          <rPr>
            <sz val="8"/>
            <color indexed="81"/>
            <rFont val="Tahoma"/>
            <family val="2"/>
          </rPr>
          <t>Enter the Cost Plan element or stage here i.e. Demolition and Enabling Works; Category A Fit Out etc.</t>
        </r>
      </text>
    </comment>
    <comment ref="F12" authorId="1" shapeId="0" xr:uid="{00000000-0006-0000-0F00-000002000000}">
      <text>
        <r>
          <rPr>
            <b/>
            <sz val="9"/>
            <color indexed="81"/>
            <rFont val="Tahoma"/>
            <family val="2"/>
          </rPr>
          <t>Tom Primrose:</t>
        </r>
        <r>
          <rPr>
            <sz val="9"/>
            <color indexed="81"/>
            <rFont val="Tahoma"/>
            <family val="2"/>
          </rPr>
          <t xml:space="preserve">
Green spons page 102 walls to 2m high £350p/m allowed EO £100m for extra earthworks
</t>
        </r>
      </text>
    </comment>
    <comment ref="F47" authorId="2" shapeId="0" xr:uid="{00000000-0006-0000-0F00-000003000000}">
      <text>
        <r>
          <rPr>
            <b/>
            <sz val="9"/>
            <color indexed="81"/>
            <rFont val="Tahoma"/>
            <family val="2"/>
          </rPr>
          <t>Primrose, Tom:</t>
        </r>
        <r>
          <rPr>
            <sz val="9"/>
            <color indexed="81"/>
            <rFont val="Tahoma"/>
            <family val="2"/>
          </rPr>
          <t xml:space="preserve">
spons p.444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Darling, Michael</author>
  </authors>
  <commentList>
    <comment ref="E11" authorId="0" shapeId="0" xr:uid="{00000000-0006-0000-1000-000001000000}">
      <text>
        <r>
          <rPr>
            <b/>
            <sz val="9"/>
            <color indexed="81"/>
            <rFont val="Tahoma"/>
            <family val="2"/>
          </rPr>
          <t>Darling, Michael:</t>
        </r>
        <r>
          <rPr>
            <sz val="9"/>
            <color indexed="81"/>
            <rFont val="Tahoma"/>
            <family val="2"/>
          </rPr>
          <t xml:space="preserve">
Green spons page 102 walls to 2m high £350p/m allowed EO £100m for extra earthworks
</t>
        </r>
      </text>
    </comment>
    <comment ref="L11" authorId="0" shapeId="0" xr:uid="{00000000-0006-0000-1000-000002000000}">
      <text>
        <r>
          <rPr>
            <b/>
            <sz val="9"/>
            <color indexed="81"/>
            <rFont val="Tahoma"/>
            <family val="2"/>
          </rPr>
          <t>Darling, Michael:</t>
        </r>
        <r>
          <rPr>
            <sz val="9"/>
            <color indexed="81"/>
            <rFont val="Tahoma"/>
            <family val="2"/>
          </rPr>
          <t xml:space="preserve">
Green spons page 102 walls to 2m high £350p/m allowed EO £100m for extra earthworks
</t>
        </r>
      </text>
    </comment>
  </commentList>
</comments>
</file>

<file path=xl/sharedStrings.xml><?xml version="1.0" encoding="utf-8"?>
<sst xmlns="http://schemas.openxmlformats.org/spreadsheetml/2006/main" count="1722" uniqueCount="817">
  <si>
    <t>Building A</t>
  </si>
  <si>
    <t>Building B</t>
  </si>
  <si>
    <t>Building C</t>
  </si>
  <si>
    <t>Building D</t>
  </si>
  <si>
    <t>Benchmarking Analysis (Continued)</t>
  </si>
  <si>
    <t>Elemental Analysis of Shell &amp; Core Costs</t>
  </si>
  <si>
    <t>Building</t>
  </si>
  <si>
    <t>Number of levels</t>
  </si>
  <si>
    <t>Base Date/TPI</t>
  </si>
  <si>
    <t>2.0</t>
  </si>
  <si>
    <t>5.0</t>
  </si>
  <si>
    <t>Basis and Assumptions</t>
  </si>
  <si>
    <t>7.0</t>
  </si>
  <si>
    <t>Exclusions</t>
  </si>
  <si>
    <t>8.0</t>
  </si>
  <si>
    <t>9.0</t>
  </si>
  <si>
    <t>Notes to be read in conjunction with Schedule of Floor Areas</t>
  </si>
  <si>
    <t xml:space="preserve">NIA - </t>
  </si>
  <si>
    <t xml:space="preserve">GIA - </t>
  </si>
  <si>
    <t xml:space="preserve">GEA - </t>
  </si>
  <si>
    <t>Level</t>
  </si>
  <si>
    <t>Office</t>
  </si>
  <si>
    <t>Retail</t>
  </si>
  <si>
    <t>Reception/ Lobbies</t>
  </si>
  <si>
    <t>Car Park / Loading</t>
  </si>
  <si>
    <t>GIA</t>
  </si>
  <si>
    <t>Net:Gross efficiency</t>
  </si>
  <si>
    <t>m²</t>
  </si>
  <si>
    <t>TOTAL</t>
  </si>
  <si>
    <t>Total</t>
  </si>
  <si>
    <t>Total Net Internal Area</t>
  </si>
  <si>
    <t>Circulation and Stairs</t>
  </si>
  <si>
    <t>Structure</t>
  </si>
  <si>
    <t xml:space="preserve"> Lifts and Risers</t>
  </si>
  <si>
    <t>Toilets, Showers, Storage</t>
  </si>
  <si>
    <t>Total Gross Internal Area</t>
  </si>
  <si>
    <t>2) All areas have been measured from ___________ drawings no.'s _______________________________</t>
  </si>
  <si>
    <t>3) Definitions:-</t>
  </si>
  <si>
    <t>7) No allowances have been made for future multi tenancy arrangements (i.e. deductions for corridors and lobbies)</t>
  </si>
  <si>
    <t>Plant, Lifts and Risers</t>
  </si>
  <si>
    <t>Schedule of Floor Areas - Metric</t>
  </si>
  <si>
    <t>Schedule of Floor Areas - Imperial</t>
  </si>
  <si>
    <t>ft²</t>
  </si>
  <si>
    <t>Element</t>
  </si>
  <si>
    <t>£</t>
  </si>
  <si>
    <t>£/ft²</t>
  </si>
  <si>
    <t>Substructure</t>
  </si>
  <si>
    <t>Frame</t>
  </si>
  <si>
    <t>Upper Floors and Stairs</t>
  </si>
  <si>
    <t>Roof</t>
  </si>
  <si>
    <t>External Walls and Doors</t>
  </si>
  <si>
    <t>Internal Walls and Partitions</t>
  </si>
  <si>
    <t>Internal Doors</t>
  </si>
  <si>
    <t>Wall Finishes</t>
  </si>
  <si>
    <t>Floor Finishes</t>
  </si>
  <si>
    <t>Ceiling Finishes</t>
  </si>
  <si>
    <t>Fittings</t>
  </si>
  <si>
    <t>Lifts &amp; Escalators</t>
  </si>
  <si>
    <t>Builder's Work</t>
  </si>
  <si>
    <t>%</t>
  </si>
  <si>
    <t>TPI:</t>
  </si>
  <si>
    <t>Sub-Total</t>
  </si>
  <si>
    <t>Preliminaries &amp; Fees</t>
  </si>
  <si>
    <t>Key Criteria &amp; Rates</t>
  </si>
  <si>
    <t>Nr. of basements</t>
  </si>
  <si>
    <t>Storeys (ground &amp; above)</t>
  </si>
  <si>
    <t>GIA ft²</t>
  </si>
  <si>
    <t>NIA ft²</t>
  </si>
  <si>
    <t>Overall net:gross (%)</t>
  </si>
  <si>
    <t>Above ground net:gross (%)</t>
  </si>
  <si>
    <t>kg/m² steel frame</t>
  </si>
  <si>
    <t>£/tonne steel frame (overall</t>
  </si>
  <si>
    <t>average; exc. fire protection)</t>
  </si>
  <si>
    <t>£/m² façade (overall average -</t>
  </si>
  <si>
    <t>all façade types)</t>
  </si>
  <si>
    <t>Size of basement:gross (%)</t>
  </si>
  <si>
    <t>Criteria</t>
  </si>
  <si>
    <t>- Costs at original base date, ie. not adjusted for inflation</t>
  </si>
  <si>
    <t>Contingencies</t>
  </si>
  <si>
    <t>Mechanical Installation</t>
  </si>
  <si>
    <t>Electrical Installation</t>
  </si>
  <si>
    <t>Lifts</t>
  </si>
  <si>
    <t>-</t>
  </si>
  <si>
    <t>exhaustive, it has been produced as a checklist to be actively managed so that these risks can be avoided/mitigated:-</t>
  </si>
  <si>
    <t>Risks</t>
  </si>
  <si>
    <t>Opportunities</t>
  </si>
  <si>
    <t>The following represents our initial thoughts on potential opportunities to reduce costs, increase value or improve area efficiencies.  Again the list is</t>
  </si>
  <si>
    <t>not exhaustive, but it intended as a checklist to be reviewed with the design team as part of a dedicated value engineering exercise:</t>
  </si>
  <si>
    <t>Sub-element</t>
  </si>
  <si>
    <t>Notes:</t>
  </si>
  <si>
    <t>6) A schedule of marked up floor plans is included within this report which clearly denotes the GIA / NIA measured.</t>
  </si>
  <si>
    <t>Wall:floor ratio (above ground)</t>
  </si>
  <si>
    <t>Concrete/steel core</t>
  </si>
  <si>
    <t>Concrete</t>
  </si>
  <si>
    <t>Potential Saving</t>
  </si>
  <si>
    <t>Site specific notes to be included below.  Depending upon the stage of the project it may also be appropriate to include an area contingency</t>
  </si>
  <si>
    <t xml:space="preserve"> </t>
  </si>
  <si>
    <t>Current Firm Price Construction Cost</t>
  </si>
  <si>
    <t>Sub-project 3 (eg. Building 1 - Office Fitting Out)</t>
  </si>
  <si>
    <t>The following represents our current view of the key risks that pose a potential threat to the financial robustness of this cost estimate.  Whilst the list is not</t>
  </si>
  <si>
    <t xml:space="preserve">On the basis of the information as listed in Section 4.0, our estimate of the present day fixed price for construction costs of the works </t>
  </si>
  <si>
    <t>at ______________ prices, is as follows:-</t>
  </si>
  <si>
    <t>Sub-project 4 (eg. External Works &amp; Incoming Services)</t>
  </si>
  <si>
    <t>£/m²</t>
  </si>
  <si>
    <t>Shell and Core</t>
  </si>
  <si>
    <t>Cash Flow</t>
  </si>
  <si>
    <t>The following graph provides an indicative cash flow for the Main Contract.</t>
  </si>
  <si>
    <t>Period</t>
  </si>
  <si>
    <t>FORECAST</t>
  </si>
  <si>
    <t>No.</t>
  </si>
  <si>
    <t>Month</t>
  </si>
  <si>
    <t>Projected Cumulative</t>
  </si>
  <si>
    <t>Projected Monthly</t>
  </si>
  <si>
    <t>GIFA</t>
  </si>
  <si>
    <t>Cost £/m2 excluding Prelims &amp; OH&amp;P</t>
  </si>
  <si>
    <t>Sub-project 2 (eg. Building 1 - Enabling Works)</t>
  </si>
  <si>
    <t>1. All costs at original base date and exclude inflation to start on site.</t>
  </si>
  <si>
    <t>2. These are shell &amp; core costs, and therefore exclude demolitions, enabling works, external works, Category A and other fitting out works, etc.</t>
  </si>
  <si>
    <t>3. They also exclude professional fees, VAT, statutory charges and all other developers' costs.</t>
  </si>
  <si>
    <t>4. Please note that the above are Davis Langdon projects only.</t>
  </si>
  <si>
    <t>Stairs</t>
  </si>
  <si>
    <t>5.3</t>
  </si>
  <si>
    <t>1) All areas have been measured in accordance with the RICS Code of Measuring Practice, 6th Edition September 2007.</t>
  </si>
  <si>
    <t>Cost £/ft2 excluding Prelims &amp; OH&amp;P</t>
  </si>
  <si>
    <t>Start on site</t>
  </si>
  <si>
    <t>Completion</t>
  </si>
  <si>
    <t>7.1</t>
  </si>
  <si>
    <t>7.2</t>
  </si>
  <si>
    <t>.2.1</t>
  </si>
  <si>
    <t>.2.2</t>
  </si>
  <si>
    <t>.2.3</t>
  </si>
  <si>
    <t>.2.4</t>
  </si>
  <si>
    <t>.2.5</t>
  </si>
  <si>
    <t>5.2</t>
  </si>
  <si>
    <t>4) Net Internal Areas do not necessarily equate to Net Saleable/Net Lettable Areas and the allocation of areas (see schedule) is based upon our assumptions, as above, regarding use and further amendments.  The accuracy of these areas will also be affected by the scale and the size of the drawings as currently available.</t>
  </si>
  <si>
    <t>5) The Measurements contained within this document should not be relied upon for any purpose other than the formulation of the cost plan itself</t>
  </si>
  <si>
    <t>Shell &amp; Core</t>
  </si>
  <si>
    <t>(Category 'A' Fitting Out)</t>
  </si>
  <si>
    <t>Is the usable area within a building measured to the internal face of the perimeter walls at each floor level.</t>
  </si>
  <si>
    <t>Is the area of a building measured to the internal face of the perimeter walls at each floor level.</t>
  </si>
  <si>
    <t>Is the area of a building measured externally at each floor level.</t>
  </si>
  <si>
    <r>
      <t>m</t>
    </r>
    <r>
      <rPr>
        <vertAlign val="superscript"/>
        <sz val="9"/>
        <rFont val="Arial"/>
        <family val="2"/>
      </rPr>
      <t>2</t>
    </r>
  </si>
  <si>
    <r>
      <t>m</t>
    </r>
    <r>
      <rPr>
        <b/>
        <vertAlign val="superscript"/>
        <sz val="9"/>
        <rFont val="Arial"/>
        <family val="2"/>
      </rPr>
      <t>2</t>
    </r>
  </si>
  <si>
    <r>
      <t xml:space="preserve">NOTE:  </t>
    </r>
    <r>
      <rPr>
        <sz val="9"/>
        <rFont val="Arial"/>
        <family val="2"/>
      </rPr>
      <t>The above area schedule is to be read in conjunction with the accompanying notes on Page __</t>
    </r>
  </si>
  <si>
    <t>£/m² GIA</t>
  </si>
  <si>
    <t>£/ft² GIA</t>
  </si>
  <si>
    <r>
      <t>The following table shows the elemental shell &amp; core costs for [</t>
    </r>
    <r>
      <rPr>
        <i/>
        <sz val="9"/>
        <rFont val="Arial"/>
        <family val="2"/>
      </rPr>
      <t xml:space="preserve">insert project name] </t>
    </r>
    <r>
      <rPr>
        <sz val="9"/>
        <rFont val="Arial"/>
        <family val="2"/>
      </rPr>
      <t xml:space="preserve">compared against a selection of comparative projects in </t>
    </r>
    <r>
      <rPr>
        <i/>
        <sz val="9"/>
        <rFont val="Arial"/>
        <family val="2"/>
      </rPr>
      <t>London</t>
    </r>
  </si>
  <si>
    <t>[Key risks to be detailed below]</t>
  </si>
  <si>
    <t>[Key opportunities to be detailed below]</t>
  </si>
  <si>
    <t>Total  £</t>
  </si>
  <si>
    <t>10.0</t>
  </si>
  <si>
    <t>Quant</t>
  </si>
  <si>
    <t>Unit</t>
  </si>
  <si>
    <t>m</t>
  </si>
  <si>
    <t>Item</t>
  </si>
  <si>
    <t>nr</t>
  </si>
  <si>
    <t>Excluded</t>
  </si>
  <si>
    <t>TOTALS</t>
  </si>
  <si>
    <t>item</t>
  </si>
  <si>
    <t>Rolls-Royce Motor Cars Limited</t>
  </si>
  <si>
    <t>Element / Description</t>
  </si>
  <si>
    <t>ft² GIA</t>
  </si>
  <si>
    <t>Rate £</t>
  </si>
  <si>
    <t>Total £</t>
  </si>
  <si>
    <t>£/m² (GIA)</t>
  </si>
  <si>
    <t>FFE</t>
  </si>
  <si>
    <t>Statutory signage</t>
  </si>
  <si>
    <t>Carefully take down existing timber cladding panels, label and mark up, set aside and protect for reuse</t>
  </si>
  <si>
    <t>Carefully take down existing steel feature trim, label and mark up, set aside and protect for reuse</t>
  </si>
  <si>
    <t>Total (rounded)</t>
  </si>
  <si>
    <t>Lift and dispose off site existing roof finish</t>
  </si>
  <si>
    <t>Take down and remove from site existing parapet wall</t>
  </si>
  <si>
    <t>Remove column at ground floor level, including relocation of cross bracing, upgrading beam, making good to finishes where disturbed</t>
  </si>
  <si>
    <t>10.1.1</t>
  </si>
  <si>
    <t>Modification to existing drain systems</t>
  </si>
  <si>
    <t>Remove beam, metal decking and insulation to first floor - break out zone only</t>
  </si>
  <si>
    <t>Condensate drains from AHU's etc</t>
  </si>
  <si>
    <t>Remove beams, metal deck and concrete between gridlines P-P2, to allow scissor lift alignment with ovens located along external wall</t>
  </si>
  <si>
    <t xml:space="preserve">New above ground drainage to suit requirements </t>
  </si>
  <si>
    <t>Form opening in existing cladding panel, insert trimmer steels, make ready to receive new door and make good finishes where disturbed</t>
  </si>
  <si>
    <t>Provide 300kw of chilled water</t>
  </si>
  <si>
    <t>kW</t>
  </si>
  <si>
    <t>Allowance for penetrations for rw drainage</t>
  </si>
  <si>
    <t xml:space="preserve">Domestic hot and cold water services to new arrangements </t>
  </si>
  <si>
    <t>Ventilation to new extension</t>
  </si>
  <si>
    <t>Background heating to new extension ( tap into existing system)</t>
  </si>
  <si>
    <t>Allowance for additional foundations / foundation reinforcement, design to be developed</t>
  </si>
  <si>
    <t xml:space="preserve">Alterations to existing compressed air services </t>
  </si>
  <si>
    <t>Provision of new lighting throughout the area</t>
  </si>
  <si>
    <t>Emergency lighting and luminaries to all areas</t>
  </si>
  <si>
    <t>Lighting control (dimmable, daylight saving)</t>
  </si>
  <si>
    <t>Escape staircase external lux sensor lighting</t>
  </si>
  <si>
    <t xml:space="preserve">General area small power </t>
  </si>
  <si>
    <t>t</t>
  </si>
  <si>
    <t>300A TPN&amp;E supplies (from main board)</t>
  </si>
  <si>
    <t>Allowance for strengthening of existing frame to accommodate imposed load, design to be developed</t>
  </si>
  <si>
    <t>Metal clad double gang sockets</t>
  </si>
  <si>
    <t>16A TPN&amp;E 2 sockets</t>
  </si>
  <si>
    <t>Allowance for fire protection to existing structure</t>
  </si>
  <si>
    <t>TPN&amp;E lift power supply</t>
  </si>
  <si>
    <t>Natural gas connection to tee off at mains incomer</t>
  </si>
  <si>
    <t>Upgrade existing Lightning Protection systems to new extension</t>
  </si>
  <si>
    <t>Relocate sprinkler system to allow for car lift</t>
  </si>
  <si>
    <t>Relocate exterior sprinkler protection, and extend as required</t>
  </si>
  <si>
    <t xml:space="preserve">Security Installations </t>
  </si>
  <si>
    <t>Allowance for flashings / cappings</t>
  </si>
  <si>
    <t>Fire Alarm and detection system</t>
  </si>
  <si>
    <t>Allowance for interface to existing roof</t>
  </si>
  <si>
    <t>Allowance for mansafe</t>
  </si>
  <si>
    <t>Building Management System</t>
  </si>
  <si>
    <t>10.1.3</t>
  </si>
  <si>
    <t>Allowance for BWIC</t>
  </si>
  <si>
    <t>Allowance for external lighting; design to be developed</t>
  </si>
  <si>
    <t>SW and FW Connections to main external drainage</t>
  </si>
  <si>
    <t>Composite sandwich panels</t>
  </si>
  <si>
    <t>External single door, to match existing</t>
  </si>
  <si>
    <t>Sub Total Building Cost</t>
  </si>
  <si>
    <t>Allowance for louvres, design to be developed</t>
  </si>
  <si>
    <t>Allowance for interface detailing to existing cladding; design to be developed</t>
  </si>
  <si>
    <t>Allowance for interface detailing to retained roof finish</t>
  </si>
  <si>
    <t>Steel feature trim to match existing</t>
  </si>
  <si>
    <t>Single doors, to match existing</t>
  </si>
  <si>
    <t>All new internal walls shown on drawings assumed by RRMC</t>
  </si>
  <si>
    <t>Floors</t>
  </si>
  <si>
    <t>8.2.1</t>
  </si>
  <si>
    <t>8.2.2</t>
  </si>
  <si>
    <t>Sealer to screed</t>
  </si>
  <si>
    <t>Remove from store and reaffix existing external timber cladding panels, including proprietary fixing system (assumed 15% not usable)</t>
  </si>
  <si>
    <t>Remove from store and reaffix existing steel feature trim</t>
  </si>
  <si>
    <t>Existing gas, water and electricity supplies assumed to have adequate capacity</t>
  </si>
  <si>
    <t xml:space="preserve">IT outlets, CAT 5 cable and containment including patch panel and </t>
  </si>
  <si>
    <t>comms cabinet (No active equipment allowed for)</t>
  </si>
  <si>
    <t>Distribution board and connections back to main board</t>
  </si>
  <si>
    <t>Demolitions / Alterations / Enabling Works</t>
  </si>
  <si>
    <t>Substructures</t>
  </si>
  <si>
    <t>Frame &amp; Upper Floors</t>
  </si>
  <si>
    <t>External Walls, Windows and Doors</t>
  </si>
  <si>
    <t>Internal Walls and Doors</t>
  </si>
  <si>
    <t>Internal Finishes</t>
  </si>
  <si>
    <t>Mechanical &amp; Electrical</t>
  </si>
  <si>
    <t>External Works &amp; Services</t>
  </si>
  <si>
    <t>Allowance for taking down and relocating existing louvres</t>
  </si>
  <si>
    <t>Brown roof to match existing, including deck, waterproofing and insulation</t>
  </si>
  <si>
    <t xml:space="preserve">Dedicated supply feeding brown roof </t>
  </si>
  <si>
    <t>Extend sprinklers to new area</t>
  </si>
  <si>
    <t>Allowance for screed to make up levels</t>
  </si>
  <si>
    <t>Allowance for connections - 10%</t>
  </si>
  <si>
    <t>Steel frame; allowance based on 70kg/m² (say)</t>
  </si>
  <si>
    <t>CCTV - relocate existing camera, 1 nr new camera fixed to external wall</t>
  </si>
  <si>
    <t>Disposal Installations</t>
  </si>
  <si>
    <t>Water services</t>
  </si>
  <si>
    <t>10.1.2</t>
  </si>
  <si>
    <t>10.1.4</t>
  </si>
  <si>
    <t>10.2.1</t>
  </si>
  <si>
    <t>10.2.2</t>
  </si>
  <si>
    <t>10.2.3</t>
  </si>
  <si>
    <t>Space heating, Air treatment and ventilation</t>
  </si>
  <si>
    <t>10.3.1</t>
  </si>
  <si>
    <t>10.3.2</t>
  </si>
  <si>
    <t>10.3.4</t>
  </si>
  <si>
    <t xml:space="preserve">Electrical </t>
  </si>
  <si>
    <t>10.4.1</t>
  </si>
  <si>
    <t>10.4.2</t>
  </si>
  <si>
    <t>10.4.3</t>
  </si>
  <si>
    <t>10.4.4</t>
  </si>
  <si>
    <t>10.4.5</t>
  </si>
  <si>
    <t>10.4.6</t>
  </si>
  <si>
    <t>10.4.7</t>
  </si>
  <si>
    <t>10.4.8</t>
  </si>
  <si>
    <t>10.4.9</t>
  </si>
  <si>
    <t>10.4.10</t>
  </si>
  <si>
    <t>10.4.11</t>
  </si>
  <si>
    <t>Gas</t>
  </si>
  <si>
    <t>10.5.1</t>
  </si>
  <si>
    <t>Protective Installations</t>
  </si>
  <si>
    <t>10.7.1</t>
  </si>
  <si>
    <t>10.7.2</t>
  </si>
  <si>
    <t>10.7.3</t>
  </si>
  <si>
    <t>10.7.4</t>
  </si>
  <si>
    <t>Communications</t>
  </si>
  <si>
    <t>10.8.1</t>
  </si>
  <si>
    <t>10.8.2</t>
  </si>
  <si>
    <t>10.8.3</t>
  </si>
  <si>
    <t>10.8.4</t>
  </si>
  <si>
    <t>Special Installations</t>
  </si>
  <si>
    <t>Steel grating access - assumed by RRMC</t>
  </si>
  <si>
    <t xml:space="preserve">New syphonic Rainwater drainage  </t>
  </si>
  <si>
    <t>New AHU (inc ancillaries)</t>
  </si>
  <si>
    <t>10.3.3</t>
  </si>
  <si>
    <t>10.3.5</t>
  </si>
  <si>
    <t>Allowance for relocation of existing AHU, install new ductwork and louvres</t>
  </si>
  <si>
    <t>300kw air cooled chiller (inc supports and ancillaries)</t>
  </si>
  <si>
    <t>Remove column and cladding panels at first floor level, including upgrading beam, making good finishes where disturbed</t>
  </si>
  <si>
    <t>Form scissor lift pit in existing ground floor, 7.785mx5.046mx1.5m, including making good existing finishes where disturbed, 500mm concrete fill</t>
  </si>
  <si>
    <t>Balustrade / safety rail to lift opening</t>
  </si>
  <si>
    <t>Foundation for external staircase</t>
  </si>
  <si>
    <t>Ceilings - assumed no ceiling finishes required</t>
  </si>
  <si>
    <t>Walls- assumed no ceiling finishes required</t>
  </si>
  <si>
    <t>10.2.4</t>
  </si>
  <si>
    <t>10.3.6</t>
  </si>
  <si>
    <t>10.3.7</t>
  </si>
  <si>
    <t>Removal of existing main electrical switchgear and associated cabling in connection with AHU</t>
  </si>
  <si>
    <t>10.9.1</t>
  </si>
  <si>
    <t>Allowance for noise attenuation barrier</t>
  </si>
  <si>
    <t>Allowance for additional steelwork and adaptations to existing steel frame; design to  be developed</t>
  </si>
  <si>
    <t xml:space="preserve">External escape stairs, lightweight PPC steel mesh enclosure, lightweight roof </t>
  </si>
  <si>
    <t>New additional timber calling panels to match existing, including proprietary fixing system</t>
  </si>
  <si>
    <t>Allowance for raising height of 18 louvre and transition piece.</t>
  </si>
  <si>
    <t xml:space="preserve">NOT USED </t>
  </si>
  <si>
    <t>area with void</t>
  </si>
  <si>
    <t>Alpha Design</t>
  </si>
  <si>
    <t>Allowance for vertical bracing; design to be developed - [Assumed requirement for loadings]</t>
  </si>
  <si>
    <t xml:space="preserve">Allowance for connections - 10% </t>
  </si>
  <si>
    <t>Allowance for fire protection to existing structure, design to be developed - [Assumed requirement design to  be developed]</t>
  </si>
  <si>
    <t>External escape stairs, lightweight PPC steel mesh enclosure, lightweight roof - [Specification required, base is included in substructures]</t>
  </si>
  <si>
    <t>Walls - [Assumed no wall finishes required as none are detailed]</t>
  </si>
  <si>
    <t>Sealer to screed - [To seal in dust]</t>
  </si>
  <si>
    <t>Statutory signage - [Allowance only for just emergency signage]</t>
  </si>
  <si>
    <t>Ventilation to new extension - [Further information required]</t>
  </si>
  <si>
    <t>Security Installations - [RRMC confirmed 28.07.14 this is not required as site wide security system is in place and new door is push bar only]</t>
  </si>
  <si>
    <t>Building Management System - [Lighting , AHU, meters]</t>
  </si>
  <si>
    <t>Fire Alarm and detection system - [Allowance to upgrade existing systems for extension]</t>
  </si>
  <si>
    <t>Allowance for SW and FW Connections to main external drainage - [Design to be developed]</t>
  </si>
  <si>
    <t>Emergency lighting and luminaries to all areas - [Luminaries with 3hr battery backup]</t>
  </si>
  <si>
    <t xml:space="preserve">Gas </t>
  </si>
  <si>
    <t>New syphonic rainwater drainage  to be incorporated onto new extension</t>
  </si>
  <si>
    <t>Lighting control - [Dimmable controlled by BMS]</t>
  </si>
  <si>
    <t>Upgrade and extend existing Lightning Protection systems to new extension to BSEN60309</t>
  </si>
  <si>
    <t xml:space="preserve">Allowance to remove existing fencing </t>
  </si>
  <si>
    <t>Screening for chiller farm - [Allowance only, no details provided]</t>
  </si>
  <si>
    <t>Relocation of cross bracing, making good to finishes where disturbed - [From future paintshop extension; allowance only no details provided]</t>
  </si>
  <si>
    <t>Nr</t>
  </si>
  <si>
    <t>Foundation for external staircase - [Allowance only, no details provided]</t>
  </si>
  <si>
    <t>Green roof to match existing - [including deck, waterproofing, insulation and green roof]</t>
  </si>
  <si>
    <t>Allowance for screed to match levels - [Allowance only, no details have been provided for existing roof structure level / condition]</t>
  </si>
  <si>
    <t>Relocate noise attenuation barrier to chiller to revised location TBC - [Allowance only, no details provided]</t>
  </si>
  <si>
    <t>Planting - [Allowance only for local screening &amp; enhancement to banks]</t>
  </si>
  <si>
    <t>Condensate drains from AHU's - [Assumed localised connections to nearest drain]</t>
  </si>
  <si>
    <t>Background heating to new extension - [Assumed to be provided by RRMC]</t>
  </si>
  <si>
    <t>Main HV supply to new flexiline building from localised distribution</t>
  </si>
  <si>
    <t>Adjustments to existing services including sprinkler main pipework [£35k] services in existing road [£15k] - [Allowance only; no details provided]</t>
  </si>
  <si>
    <t>Carefully take down existing steel feature trim, label and mark up, set aside and protect for reuse; North elevation only - [From B40 paint shop extension]</t>
  </si>
  <si>
    <t>Allowance for penetrations for rw drainage - [Allowance only, no details provided]</t>
  </si>
  <si>
    <t>Foundations, ground beams &amp; slab including excavation &amp; disposal - [Allowance only, no details provided, assumes inert waste only]</t>
  </si>
  <si>
    <t>Allowance for flashings / capping's - [To flexiline extension]</t>
  </si>
  <si>
    <t>Balustrade / safety rails - [Assumed requirement for H&amp;S of operation staff]</t>
  </si>
  <si>
    <t>Allowance for cat ladder; no longer than 5m - [Assumed required for roof access, RRMC to advise of maintenance approach]</t>
  </si>
  <si>
    <t>External single doors, to match existing</t>
  </si>
  <si>
    <t xml:space="preserve">Remove from store and reafix existing steel feature trim </t>
  </si>
  <si>
    <r>
      <rPr>
        <u/>
        <sz val="9"/>
        <rFont val="Arial"/>
        <family val="2"/>
      </rPr>
      <t>Ceilings</t>
    </r>
    <r>
      <rPr>
        <sz val="9"/>
        <rFont val="Arial"/>
        <family val="2"/>
      </rPr>
      <t xml:space="preserve"> - [Assumed no ceiling finishes required as none are detailed]</t>
    </r>
  </si>
  <si>
    <t>Modification to existing drain systems to incorporate syphonic system - [Assumed local connections only]</t>
  </si>
  <si>
    <t>New above ground drainage to suit requirements as and where required  - [For surface water pump station, allowance only, no details provided; costs excludes pump station]</t>
  </si>
  <si>
    <t>Air cooled chiller inc ancillaries, anti vibration mounts, valves, control panel, pumps all,  distribution pipework by RRMC - [Assumed dedicated requirement will be needed RRMC to advise]</t>
  </si>
  <si>
    <t>Domestic hot and cold water services to new arrangements - [Allowance for single point water connection only further details required]</t>
  </si>
  <si>
    <t>New AHU inc ancillaries - [Assumed dedicated requirement will be needed RRMC to advise]</t>
  </si>
  <si>
    <t>Metal clad double gang sockets - [Assumed number]</t>
  </si>
  <si>
    <t>TPN&amp;E 2 sockets - [Assumed number]</t>
  </si>
  <si>
    <t>Extend sprinklers to  suit new area - [Allowance only, no details provided]</t>
  </si>
  <si>
    <t>Relocate exterior sprinkler protection, and extend as required - [Allowance only, no details provided]</t>
  </si>
  <si>
    <t>IT outlets, CAT 6 cable and containment including patch panel and comms cabinet [No active equipment allowed for]</t>
  </si>
  <si>
    <t xml:space="preserve">Carefully take down existing timber and composite panels, label and mark up, set aside and protect for reuse - [From B40 paintshop extension leaving in-situ the North East elevation only] </t>
  </si>
  <si>
    <t>Lift and cut back green roof - [To B40 paint shop extension]</t>
  </si>
  <si>
    <t>Allowance for strengthening of existing frame to accommodate imposed load - [Assumed not required as the future extension can be designed to accommodate this subject to sequence of work]</t>
  </si>
  <si>
    <t xml:space="preserve">Supply and installation Stormforce louvers to roof void - [Assumed not required for this extension and works will be completed for B40 extension] </t>
  </si>
  <si>
    <t>Dedicated supply feeding green roof - [Assumed not required  here also as advised by RRMC for the B40 extension]</t>
  </si>
  <si>
    <t>Allowance for alteration to existing ductwork from B40 extension to flexiline - [Allowance only further information required]</t>
  </si>
  <si>
    <t>Alterations to existing compressed air services - [Further details required minimal allowance only]</t>
  </si>
  <si>
    <t>TPN&amp;E conveyer power supply</t>
  </si>
  <si>
    <t>Removal of existing main electrical switchgear and associated cabling in connection with AHU - [Assumed part of 1st floor extension]</t>
  </si>
  <si>
    <t>Profile and extend existing geogrid walling - [Allowance only; no details provided, assumed ave height not more than 3m, from existing wall around the site to approximately the current location of the sprinkler house including disposal of site]</t>
  </si>
  <si>
    <t>Provide new chimney - [Allowance only; no details provided]</t>
  </si>
  <si>
    <t>Allowance with interface with B40 1st floor extension roof</t>
  </si>
  <si>
    <t>Composite sandwich panels (Ruukki); to extension  - [North, West and part of East elevations assumed to 100% of elevations in total]</t>
  </si>
  <si>
    <t>New additional timber cladding panels to match existing - [Assumed not required and that the full amount needed will come from the B40 extension will be re-used and the remainder will be composite panels]</t>
  </si>
  <si>
    <t>Steel feature trim to match existing to ends - [To East 9Part) &amp; West south east return only)</t>
  </si>
  <si>
    <t>Additional louvers to process equipment - [Allowance only; no details provided]</t>
  </si>
  <si>
    <t xml:space="preserve">Reconfiguration and connections of  new / existing ductwork system </t>
  </si>
  <si>
    <t>Natural gas connection - [Assumed extension from B40 paintshop]</t>
  </si>
  <si>
    <t xml:space="preserve">Allowwance for new pipework from chiller plant to new flexiline extenstion </t>
  </si>
  <si>
    <t>Allowance for external lighting; design to be developed - [Allowance only; no details provided]</t>
  </si>
  <si>
    <t>Existing gas, water and electricity supplies assumed to have adequate capacity - [Allowance only; no details provided]</t>
  </si>
  <si>
    <t>CCTV - [Allowance only; no detaisl provided]</t>
  </si>
  <si>
    <t xml:space="preserve">Extension </t>
  </si>
  <si>
    <t>Provide new surface road; including kerbs - [Allowance only; no details provided]</t>
  </si>
  <si>
    <t>allowances for recesses/pits</t>
  </si>
  <si>
    <t>allowance for pits?</t>
  </si>
  <si>
    <t>TP Quant</t>
  </si>
  <si>
    <t>2m high gabion wall (green spons page 110).</t>
  </si>
  <si>
    <t>£120 - £150 in spons for green roof, £100 allowance for roof build up (metal deck £70 in spoms, red page 170)</t>
  </si>
  <si>
    <t>Assumed 2/3 rds</t>
  </si>
  <si>
    <t>Assumed 8.5m high</t>
  </si>
  <si>
    <r>
      <t xml:space="preserve">Relocate waste management centre - [Allowance only; no details provided, including new base] - </t>
    </r>
    <r>
      <rPr>
        <b/>
        <sz val="9"/>
        <rFont val="Arial"/>
        <family val="2"/>
      </rPr>
      <t>PHASE 1</t>
    </r>
  </si>
  <si>
    <r>
      <t xml:space="preserve">Relocate new chiller &amp; chiller farm - [Allowance only; no details provided assumed local relocation only, including new base] - </t>
    </r>
    <r>
      <rPr>
        <b/>
        <sz val="9"/>
        <rFont val="Arial"/>
        <family val="2"/>
      </rPr>
      <t>PHASE 1</t>
    </r>
  </si>
  <si>
    <r>
      <t xml:space="preserve">Relocate existing surface water pumping chambers - [Allowance only ; no details provided, assumed that pumps can be reused]  - </t>
    </r>
    <r>
      <rPr>
        <b/>
        <sz val="9"/>
        <rFont val="Arial"/>
        <family val="2"/>
      </rPr>
      <t>PHASE 1</t>
    </r>
  </si>
  <si>
    <t>Breakup and remove arising's from site for existing road</t>
  </si>
  <si>
    <t>Allowance for mansafe or similar method of fall protection - [Scope / specification  to be determined]</t>
  </si>
  <si>
    <t>Remove from store and reaffix existing external timber cladding panels, including proprietary fixing system - [Extra over to all elevations at first floor level]</t>
  </si>
  <si>
    <t>Cost Plan</t>
  </si>
  <si>
    <t>Remarks</t>
  </si>
  <si>
    <t>Gross Internal Floor Area</t>
  </si>
  <si>
    <t>New Build</t>
  </si>
  <si>
    <t>EOI            February 13</t>
  </si>
  <si>
    <t xml:space="preserve">Variance </t>
  </si>
  <si>
    <t>Rate</t>
  </si>
  <si>
    <t>Internal wall lining</t>
  </si>
  <si>
    <t>Steel frame; allowance based on 70kg/m² (say); design to be developed - [Allowance only, no details provided]</t>
  </si>
  <si>
    <t>11.1.1</t>
  </si>
  <si>
    <t>11.1.2</t>
  </si>
  <si>
    <t>11.1.3</t>
  </si>
  <si>
    <t>11.1.4</t>
  </si>
  <si>
    <t>11.2.1</t>
  </si>
  <si>
    <t>11.2.2</t>
  </si>
  <si>
    <t>11.2.3</t>
  </si>
  <si>
    <t>11.9.1</t>
  </si>
  <si>
    <t>11.8.1</t>
  </si>
  <si>
    <t>11.8.2</t>
  </si>
  <si>
    <t>11.8.3</t>
  </si>
  <si>
    <t>11.3.1</t>
  </si>
  <si>
    <t>11.3.2</t>
  </si>
  <si>
    <t>11.3.3</t>
  </si>
  <si>
    <t>11.3.4</t>
  </si>
  <si>
    <t>11.3.6</t>
  </si>
  <si>
    <t>11.3.7</t>
  </si>
  <si>
    <t>11.4.1</t>
  </si>
  <si>
    <t>11.4.3</t>
  </si>
  <si>
    <t>11.4.4</t>
  </si>
  <si>
    <t>11.4.5</t>
  </si>
  <si>
    <t>11.4.6</t>
  </si>
  <si>
    <t>11.4.7</t>
  </si>
  <si>
    <t>11.4.8</t>
  </si>
  <si>
    <t>11.4.9</t>
  </si>
  <si>
    <t>11.4.10</t>
  </si>
  <si>
    <t>11.5.1</t>
  </si>
  <si>
    <t>11.7.1</t>
  </si>
  <si>
    <t>11.7.3</t>
  </si>
  <si>
    <t>11.7.2</t>
  </si>
  <si>
    <t>Frame &amp; Upper Floors (rounded)</t>
  </si>
  <si>
    <t>Roof (rounded)</t>
  </si>
  <si>
    <t>Stairs (rounded)</t>
  </si>
  <si>
    <t>Internal Walls and Partitions (rounded)</t>
  </si>
  <si>
    <t>Internal Finishes (rounded)</t>
  </si>
  <si>
    <t>FFE (rounded)</t>
  </si>
  <si>
    <t>External Works (rounded)</t>
  </si>
  <si>
    <t>Build Total</t>
  </si>
  <si>
    <t>11.3.5</t>
  </si>
  <si>
    <t>11.4.2</t>
  </si>
  <si>
    <t>11.8.4</t>
  </si>
  <si>
    <t>Sub-total</t>
  </si>
  <si>
    <t>Mezzanine Office Options</t>
  </si>
  <si>
    <t>Demolition / Alterations / Enabling Works (Rounded)</t>
  </si>
  <si>
    <t>Substructures (rounded)</t>
  </si>
  <si>
    <t>External Walls, Windows and Doors (rounded)</t>
  </si>
  <si>
    <t>Internal Doors (rounded)</t>
  </si>
  <si>
    <t>Mechanical and Electrical (rounded)</t>
  </si>
  <si>
    <t>External Services (rounded)</t>
  </si>
  <si>
    <t>Relocate existing services where required</t>
  </si>
  <si>
    <t>Holorib composite flooring</t>
  </si>
  <si>
    <t>Metal stud partition to conference room</t>
  </si>
  <si>
    <t>Komfort partition to conference room</t>
  </si>
  <si>
    <t>Walls</t>
  </si>
  <si>
    <t>9.1.1</t>
  </si>
  <si>
    <t>9.1.2</t>
  </si>
  <si>
    <t>9.2.1</t>
  </si>
  <si>
    <t>9.2.2</t>
  </si>
  <si>
    <t>9.2.3</t>
  </si>
  <si>
    <t>9.2.4</t>
  </si>
  <si>
    <t>9.3.1</t>
  </si>
  <si>
    <t>Ceilings</t>
  </si>
  <si>
    <t>Paint Finish</t>
  </si>
  <si>
    <t>Raised access floor</t>
  </si>
  <si>
    <t>Carpet</t>
  </si>
  <si>
    <t>Altro to teapoint</t>
  </si>
  <si>
    <t>Skirtings</t>
  </si>
  <si>
    <t>Tea point units, sink, worktop</t>
  </si>
  <si>
    <t>Think tank units</t>
  </si>
  <si>
    <t>Condensate drainage</t>
  </si>
  <si>
    <t>Allowance for new ductwork and grilles</t>
  </si>
  <si>
    <t>Heating and cooling</t>
  </si>
  <si>
    <t>New distribution board and supplies</t>
  </si>
  <si>
    <t>11.6.1</t>
  </si>
  <si>
    <t>Sprinkler adaptations and extensions</t>
  </si>
  <si>
    <t>Fire Alarm adaptations and extension</t>
  </si>
  <si>
    <t>Carefully take down existing cladding panels, label and mark up, set aside and protect for reuse</t>
  </si>
  <si>
    <t>Form opening in existing external wall</t>
  </si>
  <si>
    <t>External stairs</t>
  </si>
  <si>
    <t>Cladding to match existing</t>
  </si>
  <si>
    <t>External single door to match existing</t>
  </si>
  <si>
    <t>Brise soleil, to match existing</t>
  </si>
  <si>
    <t>General allowance for small power</t>
  </si>
  <si>
    <t>Extend external sprinkler</t>
  </si>
  <si>
    <t>Main Contractor Preliminaries</t>
  </si>
  <si>
    <t>Main Contractor Overheads &amp; Profit</t>
  </si>
  <si>
    <t>Notes to be read in conjunction with template</t>
  </si>
  <si>
    <t>PLEASE READ CAREFULLY - SCROLL DOWN FOR REPORT GENERATOR</t>
  </si>
  <si>
    <t>This document has been prepared as a guide template in order to facilitate the consistency of presentation of DL Cost Plans (Models)</t>
  </si>
  <si>
    <t xml:space="preserve">In order to ensure consistent presentation the headers, footers and margin widths should not be altered </t>
  </si>
  <si>
    <t>The contents page can be structured to suit the individual client and project requirements.  The worksheet tabs along the bottom of the screen have been colour coded to denote either a mandatory (Yellow) or optional inclusion. Please hide unwanted sheets (rather than delete)</t>
  </si>
  <si>
    <t>Please note that flysheets have not been included aspart of the report set.  If this is a particular client requirement then they may be added.</t>
  </si>
  <si>
    <t>A standard benchmark analysis has been included in Section 5.0. This format should be used in the absence of anything else, however, the appropriate 'health warning' should be given and where applicable the scheme should be compared against the Davis Langdon Cost Model. Different stages, i.e. Enabling Works; Fit-out should be created by copying the 'Template' sheet &amp; renaming it accordingly. Summary data needs to be transferred to the Summary Sheet.</t>
  </si>
  <si>
    <t>All documents must be given one of the three following titles. Others should not be used unless there is an express instruction from the client to do otherwise. Indicative Cost Plan; Cost Plan; Cost Model. 
Cell E32 AND BEYOND on this sheet contains a list of these names &amp; is linked to Headers &amp; various pages within the Cost Plan</t>
  </si>
  <si>
    <t>Cost Model</t>
  </si>
  <si>
    <t>Generally used at the start of the cost advice process when guiding design teams as to appropriate cost allowances and for which design development is targeted.  Usually this term would be given to a piece of cost information that is driven by area or functional unit only and has no design or very little to design to inform the cost.  The cost advice will be the result of benchmarking and the assessment of key cost drivers including location etc.</t>
  </si>
  <si>
    <t>Indicative Cost Plan</t>
  </si>
  <si>
    <t>The next level of cost advice which usually coincides with Stage A &amp; B of the RIBA design process.  There will be some drawn design information along with parameter driven design information (i.e. an indication of steel weights expressed as kg/m² etc.).  The cost advice will be a mixture of rates per m² applied to GIA/NIA/Functional Unit along with more detailed elemental measures where the drawings permit this.</t>
  </si>
  <si>
    <t>The most detailed level of pre contract cost advice which usually coincides with RIBA design stages C, D &amp; E.  There will be detailed design available from which to measure and price.  The measure and pricing will be comprise detailed elemental items.  There could also be a level of market testing of elements of the design. </t>
  </si>
  <si>
    <t>Reports</t>
  </si>
  <si>
    <t>Report - the Report generator (orange panel below) should always be used to generate the Cost Plan Report. All worksheets, except for Notes, Template, Back cover &amp; FlySheets are included in the report. It is important to use this icon to generate the report as Page Header, numbers etc are all updated (There is no need for you to amend individual Headers &amp; Footers)</t>
  </si>
  <si>
    <r>
      <t xml:space="preserve">You will need to 'hide' (Format/Sheet/Hide) </t>
    </r>
    <r>
      <rPr>
        <b/>
        <sz val="10"/>
        <rFont val="Arial"/>
        <family val="2"/>
      </rPr>
      <t>NOT</t>
    </r>
    <r>
      <rPr>
        <sz val="10"/>
        <rFont val="Arial"/>
        <family val="2"/>
      </rPr>
      <t xml:space="preserve"> delete any sheets that you do not want included in the report. Do not print off individual sheets for any submission documents as page numbering will be incorrect</t>
    </r>
  </si>
  <si>
    <t>There are 'standard' references which need to be updated: linked through spreadsheet</t>
  </si>
  <si>
    <t>Client:</t>
  </si>
  <si>
    <t>PRINTING</t>
  </si>
  <si>
    <t>Project:</t>
  </si>
  <si>
    <t>Left header &amp; Cover</t>
  </si>
  <si>
    <t>Select sheets for printing, hiding those</t>
  </si>
  <si>
    <t>Report Nr:</t>
  </si>
  <si>
    <t>not required for printing.</t>
  </si>
  <si>
    <t>Date:</t>
  </si>
  <si>
    <t>DO NOT DELETE SHEETS - simply hide them.</t>
  </si>
  <si>
    <t>Report type:</t>
  </si>
  <si>
    <t>select from list</t>
  </si>
  <si>
    <t>(links to Page headers &amp; Cover)</t>
  </si>
  <si>
    <t>links to Cost Plan worksheet</t>
  </si>
  <si>
    <t>Design Reserve</t>
  </si>
  <si>
    <t>Contingency</t>
  </si>
  <si>
    <t>update fields coloured orange above</t>
  </si>
  <si>
    <t>Flysheets</t>
  </si>
  <si>
    <t>Print separately as single sided hard copy. Page numbers are not required.</t>
  </si>
  <si>
    <t>Mandatory pages have YELLOW Tabs.</t>
  </si>
  <si>
    <t>You will need to review this worksheet for relevance to your project &amp; sector</t>
  </si>
  <si>
    <t>At the bottom of the sheet you will find a standard list extracted from Best Practice</t>
  </si>
  <si>
    <t>Additional Worksheets</t>
  </si>
  <si>
    <t>If you want to create additonal worksheets then the best method is to copy an existing one &amp; clear all the cells</t>
  </si>
  <si>
    <t>This will ensure that the headers &amp; footers will be formatted correctly.</t>
  </si>
  <si>
    <t>Use either the Contents or Executive Summary pages as they have the simplest pages</t>
  </si>
  <si>
    <t>Ensure you review ALL sheets, particularly Contents, Assumptions, Exclusions etc. They will need amending</t>
  </si>
  <si>
    <t>Benchmarking, Parameters, Specification, Floor areas are for you to complete and are only included to make you aware</t>
  </si>
  <si>
    <t>of the Look &amp; Feel required</t>
  </si>
  <si>
    <t>ALWAYS ENSURE A FULL COMP CHECK IS CARRIED OUT BEFORE ISSUE</t>
  </si>
  <si>
    <t>Foundations for external stairs</t>
  </si>
  <si>
    <t>assumed slightly larger than 4a</t>
  </si>
  <si>
    <t>Steel rate adjusted from 2,200 to 1,950</t>
  </si>
  <si>
    <t>Allowance doubled to reflect the additional floor</t>
  </si>
  <si>
    <t>Allowance doubled (additional stair allowed for additional floor)</t>
  </si>
  <si>
    <t>allowance high?</t>
  </si>
  <si>
    <t>EO for windows / glazing / curtain</t>
  </si>
  <si>
    <t>Assumed as 45% of elevations</t>
  </si>
  <si>
    <t>Is this building the same height?</t>
  </si>
  <si>
    <t>Assumed 1 nr per floor</t>
  </si>
  <si>
    <t>Assumed required</t>
  </si>
  <si>
    <t>Linked to above cells</t>
  </si>
  <si>
    <t>Where is the 72 from - what conference room</t>
  </si>
  <si>
    <t>Where is the 13 from - what conference room</t>
  </si>
  <si>
    <t>Conference Room??</t>
  </si>
  <si>
    <t>Required?</t>
  </si>
  <si>
    <t>No details provided - Assumed a duplication of Option 4a</t>
  </si>
  <si>
    <t>Assumed no works required</t>
  </si>
  <si>
    <t>Upgrade and extend existing lightning protection system</t>
  </si>
  <si>
    <t>Demolition / Alterations / Enabling Works</t>
  </si>
  <si>
    <t>Rounded</t>
  </si>
  <si>
    <t>Mechanical and Electrical</t>
  </si>
  <si>
    <t>Steel frame; allowance based on 85kg/m² (say)</t>
  </si>
  <si>
    <t>Location TBA</t>
  </si>
  <si>
    <t>Suspended ceiling</t>
  </si>
  <si>
    <t>Assumed throughout</t>
  </si>
  <si>
    <t>Dry lining to existing external wall</t>
  </si>
  <si>
    <t>Assumed requirement for fire escape</t>
  </si>
  <si>
    <t>General allowance</t>
  </si>
  <si>
    <t>Mezzanine Office Options - Option 4d</t>
  </si>
  <si>
    <t>Allowance to new area only</t>
  </si>
  <si>
    <t>Allowance to new area only - assumed throughout</t>
  </si>
  <si>
    <t>Assumed no works required as per Alpha Design Ltd feasibility study 20.07.2016</t>
  </si>
  <si>
    <t>Phase 2 Works</t>
  </si>
  <si>
    <t>Phase 1 Works</t>
  </si>
  <si>
    <t>Allowance for fire protection</t>
  </si>
  <si>
    <t>Assumed no previously installed roof works can be reused other than mansafe</t>
  </si>
  <si>
    <t>Additional level added to previously installed external stair</t>
  </si>
  <si>
    <t>Assumed required to 50% of clad areas.</t>
  </si>
  <si>
    <t>Assumed 3m height of each floor</t>
  </si>
  <si>
    <t>Assumed required along each elevation</t>
  </si>
  <si>
    <t>Metal stud partition c/w plasterboard</t>
  </si>
  <si>
    <t>No further works anticipated</t>
  </si>
  <si>
    <t>Sub-total - New Elements</t>
  </si>
  <si>
    <t>Including refurb area (1,205m²)</t>
  </si>
  <si>
    <t>Based upon the new build area of 480m²</t>
  </si>
  <si>
    <t>Build Total - Including Refurb (Phase 1)</t>
  </si>
  <si>
    <t>Build Total (Phase 2)</t>
  </si>
  <si>
    <t>WC</t>
  </si>
  <si>
    <t>Low flush wc 88 people (allow 40 M and 40 FM) to BS 6465</t>
  </si>
  <si>
    <t>Wash Hand Basin</t>
  </si>
  <si>
    <t>Urinal</t>
  </si>
  <si>
    <t>Hand dryer</t>
  </si>
  <si>
    <t>Based on Mitsubishi Jet towel</t>
  </si>
  <si>
    <t xml:space="preserve">Allowance only. Potential to alter to normal rainwater disposal if required </t>
  </si>
  <si>
    <t xml:space="preserve">Allowance to fan coil units - Design to be agreed </t>
  </si>
  <si>
    <t>11.2.4</t>
  </si>
  <si>
    <t xml:space="preserve">Connection works to existing drainage systems </t>
  </si>
  <si>
    <t xml:space="preserve">Domestic hot and cold water services to new services </t>
  </si>
  <si>
    <t xml:space="preserve">New hot and cold water supplies to New services </t>
  </si>
  <si>
    <t>Allowance based on VRV/VFRF heat pump system</t>
  </si>
  <si>
    <t>11.5.2</t>
  </si>
  <si>
    <t>11.5.3</t>
  </si>
  <si>
    <t>11.5.4</t>
  </si>
  <si>
    <t>11.5.5</t>
  </si>
  <si>
    <t>11.9.2</t>
  </si>
  <si>
    <t>Data / IT installations</t>
  </si>
  <si>
    <t>Data Network including patch panel and comms cabinet. (no active equipment allowed for)</t>
  </si>
  <si>
    <t>11.9.3</t>
  </si>
  <si>
    <t xml:space="preserve">Access control to main entrance / exits </t>
  </si>
  <si>
    <t>CCTV</t>
  </si>
  <si>
    <t xml:space="preserve">Exterior mounted CCTV PTZ cameras </t>
  </si>
  <si>
    <t>11.10.1</t>
  </si>
  <si>
    <t>Allowance 88 people (allow 40 M and 40 FM) to BS 6465</t>
  </si>
  <si>
    <t>Connections to existing systems allowing for zonal drain down and minimal reconfiguration of pipework</t>
  </si>
  <si>
    <t>GIFA (new) =</t>
  </si>
  <si>
    <t>GIFA (refurb) =</t>
  </si>
  <si>
    <t>Allowance for passenger lift</t>
  </si>
  <si>
    <t>Internal stairs</t>
  </si>
  <si>
    <t>Refurbishment of After-Sales</t>
  </si>
  <si>
    <t>Spons - medium refurbishment m2 950.00 to 1175.00</t>
  </si>
  <si>
    <t>Lift and dispose off site existing green roof finish (includes temporary scaffolded roof shelter)</t>
  </si>
  <si>
    <t>Budget allowance; scope to be confirmed</t>
  </si>
  <si>
    <t>Allowance for mansafe / key clamp railing</t>
  </si>
  <si>
    <t>External metal stairs</t>
  </si>
  <si>
    <t>Assumed requirement for fire escape; scope to be confirmed</t>
  </si>
  <si>
    <t>Assumed 3m height of each floor to match existing</t>
  </si>
  <si>
    <t>Single doorset</t>
  </si>
  <si>
    <t>Double doorset</t>
  </si>
  <si>
    <t>Office areas to be open plan - internal face of external walls</t>
  </si>
  <si>
    <t>To conference room and WCs - assumed 90m; scope to be confirmed</t>
  </si>
  <si>
    <t>Ceramic tiling</t>
  </si>
  <si>
    <t>Subject to confirmation</t>
  </si>
  <si>
    <t>Omitted - assumed to be open plan</t>
  </si>
  <si>
    <t>Assumed to each toilet</t>
  </si>
  <si>
    <t>Excluded - assumed access through existing building</t>
  </si>
  <si>
    <t>Allowance doubled to reflect additional floor</t>
  </si>
  <si>
    <t>Tea point splashbacks &amp; toilets</t>
  </si>
  <si>
    <t xml:space="preserve">Sanitary ware </t>
  </si>
  <si>
    <t>To suit requirements to new sanitary ware facilities</t>
  </si>
  <si>
    <t>Allowance based on 600x600 lay in radiance recessed panel luminaires fixed output electronic driver, extended aluminium frame and edge lit polycarbonate diffuser</t>
  </si>
  <si>
    <t xml:space="preserve">General refurbishment </t>
  </si>
  <si>
    <t>Assumed previous can be reinstalled and commissioned</t>
  </si>
  <si>
    <t>Inflation</t>
  </si>
  <si>
    <t>Form new wall opening, including structural support and making good to opening</t>
  </si>
  <si>
    <t>Option A</t>
  </si>
  <si>
    <t>Allowance</t>
  </si>
  <si>
    <t>Dry lining to existing walls</t>
  </si>
  <si>
    <t>Allowance for feature walls</t>
  </si>
  <si>
    <t>Acoustic linings to corridor walls</t>
  </si>
  <si>
    <t>Excluded assumed none required</t>
  </si>
  <si>
    <t>Remove and dispose of existing window covers to FF Main Hall openings</t>
  </si>
  <si>
    <t>Glazed partitions</t>
  </si>
  <si>
    <t>Internal windows</t>
  </si>
  <si>
    <t>Assumed to all walls within refurblished office &amp; reception area</t>
  </si>
  <si>
    <t>Make good to new openings</t>
  </si>
  <si>
    <t>Allowance only to make good new openings</t>
  </si>
  <si>
    <t>New reception desk</t>
  </si>
  <si>
    <t>New corner sofa &amp; coffee table</t>
  </si>
  <si>
    <t>New table and chairs</t>
  </si>
  <si>
    <t>Allowance only</t>
  </si>
  <si>
    <t>Basement</t>
  </si>
  <si>
    <t>Option B</t>
  </si>
  <si>
    <t>Form new opening for incoming BT &amp; make good window hole</t>
  </si>
  <si>
    <t xml:space="preserve">Removals </t>
  </si>
  <si>
    <t xml:space="preserve">Removal / relocation of existing small power installations, lighting, lighting controls </t>
  </si>
  <si>
    <t xml:space="preserve">Removal / relocation of existing LTHW pipework to form new rooms </t>
  </si>
  <si>
    <t>Hall</t>
  </si>
  <si>
    <t xml:space="preserve">Based on using existing cableways </t>
  </si>
  <si>
    <t>Pendant luminaires to Hall</t>
  </si>
  <si>
    <t>Louis Poulson Enigma 825 pendant luminaires</t>
  </si>
  <si>
    <t>Uplighting from cornices</t>
  </si>
  <si>
    <t>Based on Olave LED strip light with IR sensor and LED Driver</t>
  </si>
  <si>
    <t>Illumination of paintings and old boys war memorial</t>
  </si>
  <si>
    <t xml:space="preserve">Based on 2 luminaires per picture </t>
  </si>
  <si>
    <t xml:space="preserve">Install Hall lighting </t>
  </si>
  <si>
    <t>Corridor / Reception</t>
  </si>
  <si>
    <t xml:space="preserve">Corridor lighting pendants </t>
  </si>
  <si>
    <t>Based on Pikka fabric pendant light with E27 LED lamps</t>
  </si>
  <si>
    <t>Additional cabling to cater for each bay</t>
  </si>
  <si>
    <t>To the new bays - connected in the existing wiring loop</t>
  </si>
  <si>
    <t xml:space="preserve">Pendant luminaires reception area </t>
  </si>
  <si>
    <t xml:space="preserve">Install of corridor lighting </t>
  </si>
  <si>
    <t xml:space="preserve">Based on utilising the existing cableways </t>
  </si>
  <si>
    <t xml:space="preserve">Offices </t>
  </si>
  <si>
    <t xml:space="preserve">Relocation of tv screen and luminaires to new finance office </t>
  </si>
  <si>
    <t>External</t>
  </si>
  <si>
    <t>Wall washers to every other column</t>
  </si>
  <si>
    <t>Based on Beamz 12x 8 quad LED</t>
  </si>
  <si>
    <t xml:space="preserve">Tree uplighters </t>
  </si>
  <si>
    <t xml:space="preserve">Install external lighting </t>
  </si>
  <si>
    <t xml:space="preserve">Feature lighting to offices </t>
  </si>
  <si>
    <t>Install of office lighting</t>
  </si>
  <si>
    <t>Allowance to south west wall in GF entrance lobby</t>
  </si>
  <si>
    <t>Allowance for relocation of finance hatch</t>
  </si>
  <si>
    <t>Allowance to allow for glazed screen to new reception waiting area</t>
  </si>
  <si>
    <t>Radiator covers</t>
  </si>
  <si>
    <t>Assumed to 2.4 hight in GF offices</t>
  </si>
  <si>
    <t>Vinyl</t>
  </si>
  <si>
    <t>Roller shutter access hatch</t>
  </si>
  <si>
    <t>Allowance to new finance office</t>
  </si>
  <si>
    <t>Allowance for larger opening as shown within basement</t>
  </si>
  <si>
    <t>Allowance for smaller opening as shown within basement</t>
  </si>
  <si>
    <t xml:space="preserve">Allowance for large opening required to form new open plan GF reception waiting area </t>
  </si>
  <si>
    <t>Allowance for large opening required to form new open plan  GF finance office</t>
  </si>
  <si>
    <t>Allowance to remove secondary doors within main entrance lobby</t>
  </si>
  <si>
    <t>Install new air curtain</t>
  </si>
  <si>
    <t>Assumed required due to the entrance secondary doors omission</t>
  </si>
  <si>
    <t>Allowance for new office / reception partition, to infill previous finance hatch &amp; form new double door opening to RHS of entrance lobby</t>
  </si>
  <si>
    <t>Allowance for Eckel panels or similar to cover existing tiled elements, assumed up to 2m high</t>
  </si>
  <si>
    <t>30 minute fire rated to new office on the RHS of the GF entrance lobby &amp; FF fire escape route</t>
  </si>
  <si>
    <t>Allowance to north east wall in GF entrance lobby</t>
  </si>
  <si>
    <t>Allowance for semi circular non fire rated timber framed windows to FF openings to veiw into the Main Hall</t>
  </si>
  <si>
    <t>Rate for 2 men @ £20/hr each x 40 hrs</t>
  </si>
  <si>
    <t>4.0 Breakdown of Elemental Summary - Refurbishment of Existing</t>
  </si>
  <si>
    <t>Schedule of Works</t>
  </si>
  <si>
    <t>Corridor</t>
  </si>
  <si>
    <t>Floor/Ceiling Area</t>
  </si>
  <si>
    <r>
      <rPr>
        <b/>
        <sz val="9"/>
        <rFont val="Arial"/>
        <family val="2"/>
      </rPr>
      <t xml:space="preserve">NOTE: </t>
    </r>
    <r>
      <rPr>
        <sz val="9"/>
        <rFont val="Arial"/>
        <family val="2"/>
      </rPr>
      <t xml:space="preserve">Feasibility estimate was based on a GIA of 1,437m² compared to Stage 2 GIA of 1,023 meaning the GIA has reduced by 414m². Key changes are the omission of the WIFI lounge and associated circulation </t>
    </r>
  </si>
  <si>
    <t>Wall Area</t>
  </si>
  <si>
    <t>Perimeter</t>
  </si>
  <si>
    <t>Demolition and Alteration Works</t>
  </si>
  <si>
    <t>No works envisaged</t>
  </si>
  <si>
    <t>Upper Floors</t>
  </si>
  <si>
    <t>£15/m2</t>
  </si>
  <si>
    <t>£40/m2</t>
  </si>
  <si>
    <t>£10/m2</t>
  </si>
  <si>
    <t>FF&amp;E</t>
  </si>
  <si>
    <t>General Allowance</t>
  </si>
  <si>
    <t>Sub Total of Measured Works</t>
  </si>
  <si>
    <t>Contingency @  10.00%</t>
  </si>
  <si>
    <t>Sub Total</t>
  </si>
  <si>
    <t>Professional fees @ 15.00%</t>
  </si>
  <si>
    <t>VAT @ 20%</t>
  </si>
  <si>
    <t>Grand Total</t>
  </si>
  <si>
    <t>Refurb Option A</t>
  </si>
  <si>
    <t>Refurb Option B</t>
  </si>
  <si>
    <t>Basement Works</t>
  </si>
  <si>
    <t>Ground Floor - Option B</t>
  </si>
  <si>
    <t>Ground Floor - Option A</t>
  </si>
  <si>
    <t>Main Hall</t>
  </si>
  <si>
    <t>Internal Walls and Partitions Note</t>
  </si>
  <si>
    <t>Allowance for striped carpet as indicated</t>
  </si>
  <si>
    <t>New signage</t>
  </si>
  <si>
    <t>Externals</t>
  </si>
  <si>
    <t>See Executive Summary</t>
  </si>
  <si>
    <t>Main Contractor Preliminaries @ £5,000 per week</t>
  </si>
  <si>
    <t>Equipment - Excluded</t>
  </si>
  <si>
    <t>Assume reused</t>
  </si>
  <si>
    <t>Service and commission front entrance doors</t>
  </si>
  <si>
    <t>Boxing in to exposed services</t>
  </si>
  <si>
    <t>Allowance, assumed requirement</t>
  </si>
  <si>
    <t>Entrance matting</t>
  </si>
  <si>
    <t>Check</t>
  </si>
  <si>
    <t>Inflation @ 0.7%</t>
  </si>
  <si>
    <t>Main Contractor OHP @ 7.00%</t>
  </si>
  <si>
    <t>Design Reserve - Included above</t>
  </si>
  <si>
    <t>Main Contractor’s Overheads and Profit</t>
  </si>
  <si>
    <t>Contractors OH&amp;P</t>
  </si>
  <si>
    <t>Milstone No.</t>
  </si>
  <si>
    <t xml:space="preserve">Milestone Description </t>
  </si>
  <si>
    <r>
      <rPr>
        <b/>
        <i/>
        <sz val="10"/>
        <rFont val="Arial"/>
        <family val="2"/>
      </rPr>
      <t xml:space="preserve">Notes to Tenderers:
</t>
    </r>
    <r>
      <rPr>
        <i/>
        <sz val="10"/>
        <rFont val="Arial"/>
        <family val="2"/>
      </rPr>
      <t>The Authority will only pay on completion of pre-determined Milestones during the performance of the Contract.  Milestones must be objectively ascertainable events that can be readily defined and assessed by the Project Manager at the appropriate time as having been completed. Each milestone must have a minimum value of US $10,000.</t>
    </r>
  </si>
  <si>
    <r>
      <rPr>
        <b/>
        <sz val="11"/>
        <color rgb="FF000000"/>
        <rFont val="Arial"/>
        <family val="2"/>
      </rPr>
      <t>Compliance Statement.</t>
    </r>
    <r>
      <rPr>
        <sz val="11"/>
        <color rgb="FF000000"/>
        <rFont val="Arial"/>
        <family val="2"/>
      </rPr>
      <t xml:space="preserve">  My offer is made in accordance with the requirements of the ITT) and I will comply in all respects with the Conditions of Contract – Booklet 2.  </t>
    </r>
  </si>
  <si>
    <r>
      <rPr>
        <b/>
        <sz val="11"/>
        <rFont val="Arial"/>
        <family val="2"/>
      </rPr>
      <t xml:space="preserve">Tender Period. </t>
    </r>
    <r>
      <rPr>
        <sz val="11"/>
        <rFont val="Arial"/>
        <family val="2"/>
      </rPr>
      <t xml:space="preserve">  I confirm that my offer will remain open for a period of 90 days from the due date</t>
    </r>
  </si>
  <si>
    <r>
      <rPr>
        <b/>
        <sz val="11"/>
        <rFont val="Arial"/>
        <family val="2"/>
      </rPr>
      <t>Maintenance / Defects Liability Period.</t>
    </r>
    <r>
      <rPr>
        <sz val="11"/>
        <rFont val="Arial"/>
        <family val="2"/>
      </rPr>
      <t xml:space="preserve">   The Tenderer shall provide a clear statement demonstrating their understanding and acceptance of the 12 months Maintenance / Defects Liability Period from the date of handover to the Client.</t>
    </r>
  </si>
  <si>
    <r>
      <rPr>
        <b/>
        <sz val="11"/>
        <color rgb="FF000000"/>
        <rFont val="Arial"/>
        <family val="2"/>
      </rPr>
      <t>Fraud and Ethical Behavior</t>
    </r>
    <r>
      <rPr>
        <sz val="11"/>
        <color rgb="FF000000"/>
        <rFont val="Arial"/>
        <family val="2"/>
      </rPr>
      <t xml:space="preserve">. I </t>
    </r>
    <r>
      <rPr>
        <sz val="11"/>
        <rFont val="Arial"/>
        <family val="2"/>
      </rPr>
      <t xml:space="preserve">understand and accept that fraudulent activity is not acceptable to any extent. I confirm their commitment to ethical business behaviour. </t>
    </r>
  </si>
  <si>
    <t>Statement</t>
  </si>
  <si>
    <t xml:space="preserve">Response (Accept / Do not Accept) </t>
  </si>
  <si>
    <t>Additional Remarks</t>
  </si>
  <si>
    <t>Type of Insurance</t>
  </si>
  <si>
    <t xml:space="preserve">Notes to Tenderers
Please provide I have provided full details of all insurance cover proposed, with details of individual policy costs along with details of any exclusion of such policies.  </t>
  </si>
  <si>
    <t>Policy Limit (USD)</t>
  </si>
  <si>
    <r>
      <rPr>
        <b/>
        <sz val="11"/>
        <rFont val="Arial"/>
        <family val="2"/>
      </rPr>
      <t xml:space="preserve">Payment of Sub-Contractors. </t>
    </r>
    <r>
      <rPr>
        <sz val="11"/>
        <rFont val="Arial"/>
        <family val="2"/>
      </rPr>
      <t>I will pay my sub-contractors and suppliers within 30 days of receipt of a valid claim.  Previously some Tenderers have chosen to interpret this as meaning that sub-contractors and suppliers must be paid within 30 days from the date of validation of the sub-contractor’s or supplier’s claim and in some cases as 30 working days.  Neither of these interpretations is acceptable.  Sub-contractors and suppliers must be paid within 30 days from the date of receipt from the sub-contractor or supplier of an acceptable claim, no matter how long the validation process takes.  Tenderers should make clear in their submission that they understand and accept this interpretation.</t>
    </r>
  </si>
  <si>
    <t>Payment Value (USD)</t>
  </si>
  <si>
    <t>Cummulative Value(USD)</t>
  </si>
  <si>
    <t>Insurance proposed for Project</t>
  </si>
  <si>
    <r>
      <rPr>
        <b/>
        <sz val="11"/>
        <color rgb="FF000000"/>
        <rFont val="Arial"/>
        <family val="2"/>
      </rPr>
      <t>Handover Documentation.</t>
    </r>
    <r>
      <rPr>
        <sz val="11"/>
        <color rgb="FF000000"/>
        <rFont val="Arial"/>
        <family val="2"/>
      </rPr>
      <t>The Tenderer shall provide a statement acknowledging that the Contractor will be required to produce the Project H&amp;S File prior to the Project Handover as per the requirements of Booklet 3</t>
    </r>
  </si>
  <si>
    <r>
      <rPr>
        <b/>
        <sz val="11"/>
        <color rgb="FF000000"/>
        <rFont val="Arial"/>
        <family val="2"/>
      </rPr>
      <t xml:space="preserve">SAFEGUARDING. </t>
    </r>
    <r>
      <rPr>
        <sz val="11"/>
        <color rgb="FF000000"/>
        <rFont val="Arial"/>
        <family val="2"/>
      </rPr>
      <t>I understand and will comply with the RDA safeguarding policy.</t>
    </r>
  </si>
  <si>
    <t xml:space="preserve">Part A Financial Submission- Submission Statements </t>
  </si>
  <si>
    <t xml:space="preserve">Part A Financial Submission- Pricing Shedule  </t>
  </si>
  <si>
    <t>$</t>
  </si>
  <si>
    <t>Part A Financial Submission- Payment Milestones</t>
  </si>
  <si>
    <t>Mobilisation (Preliminaries);</t>
  </si>
  <si>
    <t>Insurances</t>
  </si>
  <si>
    <t>Groundworks</t>
  </si>
  <si>
    <t>Labour</t>
  </si>
  <si>
    <t>Materials</t>
  </si>
  <si>
    <t>Equipment</t>
  </si>
  <si>
    <t>FORM OF TENDER</t>
  </si>
  <si>
    <t>FOR THE CONTRACTOR'S CONTRACT</t>
  </si>
  <si>
    <t>DUE DATE FOR RETURN:</t>
  </si>
  <si>
    <t>To be returned to:</t>
  </si>
  <si>
    <t>Head of Procurement</t>
  </si>
  <si>
    <t>Recovery and Development Agency</t>
  </si>
  <si>
    <t>Ritter House</t>
  </si>
  <si>
    <t>Wickham's Cay II</t>
  </si>
  <si>
    <t>Road Town, Tortola, VG 1110</t>
  </si>
  <si>
    <t>British Virgin Islands</t>
  </si>
  <si>
    <t>Email: procurement@bvirecovery.vg</t>
  </si>
  <si>
    <t xml:space="preserve">FOR: </t>
  </si>
  <si>
    <t>To: THE HEAD OF PROCUREMENT OF THE RECOVERY AND DEVELOPMENT AGENCY</t>
  </si>
  <si>
    <t>The  undersigned (herein after called "The Tenderer") having read the Notices and Instructions to Tender and the Conditions of Contract as specified in the Invitation to Tender letter hereby offers to provide the services detailed in the Specification at the FIRM price and rates stated in the Schedule of Requirements.</t>
  </si>
  <si>
    <t>I hereby confirm that I have read and understand the Invitation to Tender and agree that the Contract shall be subject to British Virgin Island Law.</t>
  </si>
  <si>
    <t>I hereby agree that the Conditions of Contract as issed with the Invitation to Tender shall apply to the Contract and that any other terms or conditions of contract or any general reservations which may be printed on any correspondence emanating from the Tenderer in connection with this Tender or with any contract resulting from this Tender shall not be applicable to this Tender or to the Contract.</t>
  </si>
  <si>
    <t>The Contractor acknowledges that the Authority reserves the right to invite competitive quotations and / or place orders elsewhere for any or all items listed in the schedule of requirements during the period of the Contractor's offer.</t>
  </si>
  <si>
    <t>TENDER PRICE</t>
  </si>
  <si>
    <t>The Tender submissions are as follows:</t>
  </si>
  <si>
    <t>The total value is:</t>
  </si>
  <si>
    <t>TOTAL:</t>
  </si>
  <si>
    <t>(USD) $</t>
  </si>
  <si>
    <t>This price does not include any element of Tax</t>
  </si>
  <si>
    <r>
      <t xml:space="preserve">(State the </t>
    </r>
    <r>
      <rPr>
        <b/>
        <sz val="11"/>
        <rFont val="Arial"/>
        <family val="2"/>
      </rPr>
      <t>TOTAL</t>
    </r>
    <r>
      <rPr>
        <sz val="11"/>
        <rFont val="Arial"/>
        <family val="2"/>
      </rPr>
      <t xml:space="preserve"> amount in words:…………………………………………..…………………………)</t>
    </r>
  </si>
  <si>
    <r>
      <rPr>
        <b/>
        <i/>
        <sz val="10"/>
        <rFont val="Arial"/>
        <family val="2"/>
      </rPr>
      <t>Notes to Tenderers</t>
    </r>
    <r>
      <rPr>
        <i/>
        <sz val="10"/>
        <rFont val="Arial"/>
        <family val="2"/>
      </rPr>
      <t xml:space="preserve">
The following pricing schedule has been produced to facilitate pricing the works required at the Site indicated in the Scope of Works. This document is to be read in conjunction with the Scope of Works and Specification Document in Booklet 3 and Booklet 4. Please insert rows under the headings providing sufficient breakdown of material and labour costs  
</t>
    </r>
    <r>
      <rPr>
        <i/>
        <u/>
        <sz val="10"/>
        <rFont val="Arial"/>
        <family val="2"/>
      </rPr>
      <t>Please use this pricing document to form the basis of your Tender return</t>
    </r>
  </si>
  <si>
    <t>ACTIVITY</t>
  </si>
  <si>
    <t>ITT/0013</t>
  </si>
  <si>
    <t>A. O. SHIRLEY RECREATIONAL GROUND - PERIMETER WALL CONSTRUCTION</t>
  </si>
  <si>
    <t>ITT No.:       ITT/0013</t>
  </si>
  <si>
    <t>ITT TITLE.: A. O. Shirley Recreational Ground - Perimeter Wall Construction</t>
  </si>
  <si>
    <t xml:space="preserve">BY 4:00PM ON 02-APRIL-2019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</si>
</sst>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44" formatCode="_(&quot;$&quot;* #,##0.00_);_(&quot;$&quot;* \(#,##0.00\);_(&quot;$&quot;* &quot;-&quot;??_);_(@_)"/>
    <numFmt numFmtId="43" formatCode="_(* #,##0.00_);_(* \(#,##0.00\);_(* &quot;-&quot;??_);_(@_)"/>
    <numFmt numFmtId="164" formatCode="&quot;£&quot;#,##0;[Red]\-&quot;£&quot;#,##0"/>
    <numFmt numFmtId="165" formatCode="&quot;£&quot;#,##0.00;[Red]\-&quot;£&quot;#,##0.00"/>
    <numFmt numFmtId="166" formatCode="_-* #,##0_-;\-* #,##0_-;_-* &quot;-&quot;_-;_-@_-"/>
    <numFmt numFmtId="167" formatCode="_-&quot;£&quot;* #,##0.00_-;\-&quot;£&quot;* #,##0.00_-;_-&quot;£&quot;* &quot;-&quot;??_-;_-@_-"/>
    <numFmt numFmtId="168" formatCode="_-* #,##0.00_-;\-* #,##0.00_-;_-* &quot;-&quot;??_-;_-@_-"/>
    <numFmt numFmtId="169" formatCode="0.0"/>
    <numFmt numFmtId="170" formatCode="_-* #,##0.0_-;\-* #,##0.0_-;_-* &quot;-&quot;??_-;_-@_-"/>
    <numFmt numFmtId="171" formatCode="#,##0.0"/>
    <numFmt numFmtId="172" formatCode="_(* #,##0_);_(* \(#,##0\);_(* &quot;-&quot;??_);_(@_)"/>
    <numFmt numFmtId="173" formatCode="&quot;£&quot;#,##0"/>
    <numFmt numFmtId="174" formatCode="_-* #,##0_-;\-* #,##0_-;_-* &quot;-&quot;??_-;_-@_-"/>
    <numFmt numFmtId="175" formatCode="mmm\ yyyy"/>
    <numFmt numFmtId="176" formatCode="#,##0&quot; ft²&quot;"/>
    <numFmt numFmtId="177" formatCode="#,##0&quot; m²&quot;;[Red]\(#,##0&quot; m²&quot;\)"/>
    <numFmt numFmtId="178" formatCode="#,##0;\(#,##0\)"/>
    <numFmt numFmtId="179" formatCode="[$-F800]dddd\,\ mmmm\ dd\,\ yyyy"/>
    <numFmt numFmtId="180" formatCode="#,###&quot; ft²&quot;;[Red]\(#,###&quot; ft²&quot;\)"/>
    <numFmt numFmtId="181" formatCode="#,##0.00;[Red]\(#,##0.00\)"/>
    <numFmt numFmtId="182" formatCode="#,##0;[Red]\(#,##0\)"/>
    <numFmt numFmtId="183" formatCode="&quot;£&quot;#,##0&quot;/m²&quot;"/>
    <numFmt numFmtId="184" formatCode="#,##0.00;[Red]#,##0.00"/>
    <numFmt numFmtId="185" formatCode="0.0%"/>
    <numFmt numFmtId="186" formatCode="\P\1\ #,##0&quot; m²&quot;;[Red]\(#,##0&quot; m²&quot;\)"/>
    <numFmt numFmtId="187" formatCode="\P\2\ #,##0&quot; m²&quot;;[Red]\(#,##0&quot; m²&quot;\)"/>
    <numFmt numFmtId="188" formatCode="#,##0\ &quot;m²&quot;"/>
    <numFmt numFmtId="189" formatCode="#,##0\ &quot;m&quot;"/>
    <numFmt numFmtId="190" formatCode="[$$-409]#,##0.00"/>
  </numFmts>
  <fonts count="85" x14ac:knownFonts="1">
    <font>
      <sz val="11"/>
      <name val="Arial"/>
    </font>
    <font>
      <sz val="11"/>
      <color theme="1"/>
      <name val="Calibri"/>
      <family val="2"/>
      <scheme val="minor"/>
    </font>
    <font>
      <sz val="11"/>
      <color theme="1"/>
      <name val="Calibri"/>
      <family val="2"/>
      <scheme val="minor"/>
    </font>
    <font>
      <sz val="11"/>
      <name val="Arial"/>
      <family val="2"/>
    </font>
    <font>
      <sz val="8"/>
      <name val="Arial"/>
      <family val="2"/>
    </font>
    <font>
      <sz val="10"/>
      <name val="Arial"/>
      <family val="2"/>
    </font>
    <font>
      <b/>
      <sz val="10"/>
      <name val="Arial"/>
      <family val="2"/>
    </font>
    <font>
      <sz val="10"/>
      <name val="Arial"/>
      <family val="2"/>
    </font>
    <font>
      <sz val="8"/>
      <color indexed="81"/>
      <name val="Tahoma"/>
      <family val="2"/>
    </font>
    <font>
      <b/>
      <sz val="9"/>
      <name val="Arial"/>
      <family val="2"/>
    </font>
    <font>
      <sz val="9"/>
      <name val="Arial"/>
      <family val="2"/>
    </font>
    <font>
      <sz val="10"/>
      <name val="Helv"/>
    </font>
    <font>
      <sz val="9"/>
      <name val="Arial"/>
      <family val="2"/>
    </font>
    <font>
      <sz val="12"/>
      <name val="Times New Roman"/>
      <family val="1"/>
    </font>
    <font>
      <sz val="10"/>
      <color indexed="10"/>
      <name val="Arial"/>
      <family val="2"/>
    </font>
    <font>
      <sz val="15"/>
      <name val="Arial"/>
      <family val="2"/>
    </font>
    <font>
      <b/>
      <sz val="9"/>
      <name val="Arial"/>
      <family val="2"/>
    </font>
    <font>
      <i/>
      <sz val="9"/>
      <name val="Arial"/>
      <family val="2"/>
    </font>
    <font>
      <sz val="15"/>
      <name val="Arial"/>
      <family val="2"/>
    </font>
    <font>
      <b/>
      <sz val="9"/>
      <color indexed="44"/>
      <name val="Arial"/>
      <family val="2"/>
    </font>
    <font>
      <vertAlign val="superscript"/>
      <sz val="9"/>
      <name val="Arial"/>
      <family val="2"/>
    </font>
    <font>
      <b/>
      <vertAlign val="superscript"/>
      <sz val="9"/>
      <name val="Arial"/>
      <family val="2"/>
    </font>
    <font>
      <sz val="9"/>
      <color indexed="10"/>
      <name val="Arial"/>
      <family val="2"/>
    </font>
    <font>
      <sz val="9"/>
      <color indexed="44"/>
      <name val="Arial"/>
      <family val="2"/>
    </font>
    <font>
      <b/>
      <u/>
      <sz val="9"/>
      <name val="Arial"/>
      <family val="2"/>
    </font>
    <font>
      <sz val="9"/>
      <color indexed="10"/>
      <name val="Arial"/>
      <family val="2"/>
    </font>
    <font>
      <b/>
      <sz val="9"/>
      <color indexed="10"/>
      <name val="Arial"/>
      <family val="2"/>
    </font>
    <font>
      <i/>
      <sz val="9"/>
      <color indexed="10"/>
      <name val="Arial"/>
      <family val="2"/>
    </font>
    <font>
      <b/>
      <sz val="9"/>
      <color indexed="10"/>
      <name val="Arial"/>
      <family val="2"/>
    </font>
    <font>
      <b/>
      <sz val="10"/>
      <name val="Arial"/>
      <family val="2"/>
    </font>
    <font>
      <b/>
      <sz val="10"/>
      <color indexed="10"/>
      <name val="Arial"/>
      <family val="2"/>
    </font>
    <font>
      <sz val="9"/>
      <color indexed="26"/>
      <name val="Arial"/>
      <family val="2"/>
    </font>
    <font>
      <b/>
      <u val="singleAccounting"/>
      <sz val="9"/>
      <name val="Arial"/>
      <family val="2"/>
    </font>
    <font>
      <sz val="9"/>
      <color indexed="24"/>
      <name val="Arial"/>
      <family val="2"/>
    </font>
    <font>
      <sz val="12"/>
      <color indexed="22"/>
      <name val="Arial"/>
      <family val="2"/>
    </font>
    <font>
      <sz val="8"/>
      <name val="Times New Roman"/>
      <family val="1"/>
    </font>
    <font>
      <u/>
      <sz val="9"/>
      <name val="Arial"/>
      <family val="2"/>
    </font>
    <font>
      <sz val="72"/>
      <name val="Arial"/>
      <family val="2"/>
    </font>
    <font>
      <sz val="9"/>
      <color indexed="81"/>
      <name val="Tahoma"/>
      <family val="2"/>
    </font>
    <font>
      <b/>
      <sz val="9"/>
      <color indexed="81"/>
      <name val="Tahoma"/>
      <family val="2"/>
    </font>
    <font>
      <b/>
      <sz val="9"/>
      <color rgb="FFFF0000"/>
      <name val="Arial"/>
      <family val="2"/>
    </font>
    <font>
      <b/>
      <sz val="10"/>
      <color theme="0"/>
      <name val="Arial"/>
      <family val="2"/>
    </font>
    <font>
      <u/>
      <sz val="11"/>
      <color theme="10"/>
      <name val="Arial"/>
      <family val="2"/>
    </font>
    <font>
      <sz val="9"/>
      <color rgb="FFFF0000"/>
      <name val="Arial"/>
      <family val="2"/>
    </font>
    <font>
      <b/>
      <i/>
      <sz val="9"/>
      <name val="Arial"/>
      <family val="2"/>
    </font>
    <font>
      <b/>
      <i/>
      <sz val="9"/>
      <color rgb="FF0070C0"/>
      <name val="Arial"/>
      <family val="2"/>
    </font>
    <font>
      <i/>
      <sz val="9"/>
      <color rgb="FF0070C0"/>
      <name val="Arial"/>
      <family val="2"/>
    </font>
    <font>
      <b/>
      <sz val="9"/>
      <color rgb="FFCC3399"/>
      <name val="Arial"/>
      <family val="2"/>
    </font>
    <font>
      <i/>
      <sz val="9"/>
      <color theme="0"/>
      <name val="Arial"/>
      <family val="2"/>
    </font>
    <font>
      <b/>
      <i/>
      <sz val="9"/>
      <color theme="0"/>
      <name val="Arial"/>
      <family val="2"/>
    </font>
    <font>
      <sz val="9"/>
      <name val="Calibri"/>
      <family val="2"/>
    </font>
    <font>
      <i/>
      <sz val="8"/>
      <name val="Arial"/>
      <family val="2"/>
    </font>
    <font>
      <b/>
      <u/>
      <sz val="10"/>
      <name val="Arial"/>
      <family val="2"/>
    </font>
    <font>
      <b/>
      <sz val="8"/>
      <color indexed="81"/>
      <name val="Tahoma"/>
      <family val="2"/>
    </font>
    <font>
      <sz val="12"/>
      <name val="Arial"/>
      <family val="2"/>
    </font>
    <font>
      <sz val="10"/>
      <name val="MS Sans Serif"/>
      <family val="2"/>
    </font>
    <font>
      <u/>
      <sz val="11"/>
      <color indexed="12"/>
      <name val="Arial"/>
      <family val="2"/>
    </font>
    <font>
      <b/>
      <sz val="10"/>
      <color indexed="45"/>
      <name val="Arial"/>
      <family val="2"/>
    </font>
    <font>
      <b/>
      <sz val="8"/>
      <name val="Arial"/>
      <family val="2"/>
    </font>
    <font>
      <b/>
      <sz val="8"/>
      <color indexed="44"/>
      <name val="Arial"/>
      <family val="2"/>
    </font>
    <font>
      <sz val="10"/>
      <color indexed="44"/>
      <name val="Arial"/>
      <family val="2"/>
    </font>
    <font>
      <b/>
      <sz val="10"/>
      <color indexed="44"/>
      <name val="Arial"/>
      <family val="2"/>
    </font>
    <font>
      <i/>
      <sz val="10"/>
      <color indexed="44"/>
      <name val="Arial"/>
      <family val="2"/>
    </font>
    <font>
      <b/>
      <sz val="10"/>
      <color indexed="13"/>
      <name val="Arial"/>
      <family val="2"/>
    </font>
    <font>
      <b/>
      <sz val="9"/>
      <color theme="0"/>
      <name val="Arial"/>
      <family val="2"/>
    </font>
    <font>
      <strike/>
      <sz val="9"/>
      <name val="Arial"/>
      <family val="2"/>
    </font>
    <font>
      <b/>
      <sz val="12"/>
      <name val="Arial"/>
      <family val="2"/>
    </font>
    <font>
      <sz val="9"/>
      <color indexed="23"/>
      <name val="Arial"/>
      <family val="2"/>
    </font>
    <font>
      <sz val="9"/>
      <color theme="0"/>
      <name val="Arial"/>
      <family val="2"/>
    </font>
    <font>
      <b/>
      <sz val="9"/>
      <color indexed="8"/>
      <name val="Arial"/>
      <family val="2"/>
    </font>
    <font>
      <sz val="9"/>
      <color rgb="FFFFFF00"/>
      <name val="Arial"/>
      <family val="2"/>
    </font>
    <font>
      <b/>
      <i/>
      <sz val="10"/>
      <name val="Arial"/>
      <family val="2"/>
    </font>
    <font>
      <i/>
      <sz val="10"/>
      <name val="Arial"/>
      <family val="2"/>
    </font>
    <font>
      <b/>
      <i/>
      <sz val="12"/>
      <color rgb="FF0070C0"/>
      <name val="Arial"/>
      <family val="2"/>
    </font>
    <font>
      <i/>
      <sz val="12"/>
      <color rgb="FF0070C0"/>
      <name val="Arial"/>
      <family val="2"/>
    </font>
    <font>
      <i/>
      <sz val="10"/>
      <color rgb="FF0070C0"/>
      <name val="Arial"/>
      <family val="2"/>
    </font>
    <font>
      <i/>
      <sz val="10"/>
      <color theme="0"/>
      <name val="Arial"/>
      <family val="2"/>
    </font>
    <font>
      <b/>
      <i/>
      <sz val="10"/>
      <color theme="0"/>
      <name val="Arial"/>
      <family val="2"/>
    </font>
    <font>
      <sz val="14"/>
      <name val="Arial"/>
      <family val="2"/>
    </font>
    <font>
      <i/>
      <u/>
      <sz val="10"/>
      <name val="Arial"/>
      <family val="2"/>
    </font>
    <font>
      <b/>
      <sz val="11"/>
      <color rgb="FF000000"/>
      <name val="Arial"/>
      <family val="2"/>
    </font>
    <font>
      <sz val="11"/>
      <color rgb="FF000000"/>
      <name val="Arial"/>
      <family val="2"/>
    </font>
    <font>
      <b/>
      <sz val="11"/>
      <name val="Arial"/>
      <family val="2"/>
    </font>
    <font>
      <b/>
      <u/>
      <sz val="11"/>
      <name val="Arial"/>
      <family val="2"/>
    </font>
    <font>
      <b/>
      <sz val="14"/>
      <name val="Arial"/>
      <family val="2"/>
    </font>
  </fonts>
  <fills count="13">
    <fill>
      <patternFill patternType="none"/>
    </fill>
    <fill>
      <patternFill patternType="gray125"/>
    </fill>
    <fill>
      <patternFill patternType="solid">
        <fgColor indexed="46"/>
        <bgColor indexed="64"/>
      </patternFill>
    </fill>
    <fill>
      <patternFill patternType="solid">
        <fgColor indexed="43"/>
        <bgColor indexed="64"/>
      </patternFill>
    </fill>
    <fill>
      <patternFill patternType="solid">
        <fgColor indexed="47"/>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indexed="13"/>
        <bgColor indexed="64"/>
      </patternFill>
    </fill>
    <fill>
      <patternFill patternType="solid">
        <fgColor theme="8" tint="0.59999389629810485"/>
        <bgColor indexed="64"/>
      </patternFill>
    </fill>
    <fill>
      <patternFill patternType="solid">
        <fgColor indexed="23"/>
        <bgColor indexed="64"/>
      </patternFill>
    </fill>
    <fill>
      <patternFill patternType="solid">
        <fgColor indexed="8"/>
        <bgColor indexed="64"/>
      </patternFill>
    </fill>
    <fill>
      <patternFill patternType="solid">
        <fgColor theme="4" tint="0.79998168889431442"/>
        <bgColor indexed="64"/>
      </patternFill>
    </fill>
  </fills>
  <borders count="91">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thin">
        <color indexed="10"/>
      </bottom>
      <diagonal/>
    </border>
    <border>
      <left/>
      <right/>
      <top style="thin">
        <color indexed="64"/>
      </top>
      <bottom/>
      <diagonal/>
    </border>
    <border>
      <left style="medium">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bottom/>
      <diagonal/>
    </border>
    <border>
      <left style="double">
        <color indexed="64"/>
      </left>
      <right style="double">
        <color indexed="64"/>
      </right>
      <top/>
      <bottom/>
      <diagonal/>
    </border>
    <border>
      <left style="double">
        <color indexed="64"/>
      </left>
      <right style="thin">
        <color indexed="64"/>
      </right>
      <top/>
      <bottom/>
      <diagonal/>
    </border>
    <border>
      <left style="thin">
        <color indexed="64"/>
      </left>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diagonal/>
    </border>
    <border>
      <left style="double">
        <color indexed="64"/>
      </left>
      <right style="double">
        <color indexed="64"/>
      </right>
      <top style="hair">
        <color indexed="64"/>
      </top>
      <bottom/>
      <diagonal/>
    </border>
    <border>
      <left style="thin">
        <color indexed="64"/>
      </left>
      <right/>
      <top style="hair">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style="double">
        <color indexed="64"/>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theme="0" tint="-0.499984740745262"/>
      </left>
      <right style="thin">
        <color theme="0" tint="-0.499984740745262"/>
      </right>
      <top/>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hair">
        <color indexed="64"/>
      </bottom>
      <diagonal/>
    </border>
    <border>
      <left/>
      <right/>
      <top/>
      <bottom style="medium">
        <color indexed="23"/>
      </bottom>
      <diagonal/>
    </border>
    <border>
      <left/>
      <right/>
      <top style="medium">
        <color indexed="23"/>
      </top>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s>
  <cellStyleXfs count="41">
    <xf numFmtId="0" fontId="0" fillId="0" borderId="0"/>
    <xf numFmtId="43" fontId="3" fillId="0" borderId="0" applyFont="0" applyFill="0" applyBorder="0" applyAlignment="0" applyProtection="0"/>
    <xf numFmtId="0" fontId="5" fillId="0" borderId="0"/>
    <xf numFmtId="0" fontId="11" fillId="0" borderId="0"/>
    <xf numFmtId="0" fontId="3" fillId="0" borderId="0"/>
    <xf numFmtId="0" fontId="13" fillId="0" borderId="0"/>
    <xf numFmtId="0" fontId="13" fillId="0" borderId="0"/>
    <xf numFmtId="9" fontId="3" fillId="0" borderId="0" applyFont="0" applyFill="0" applyBorder="0" applyAlignment="0" applyProtection="0"/>
    <xf numFmtId="0" fontId="3" fillId="0" borderId="0"/>
    <xf numFmtId="168" fontId="3" fillId="0" borderId="0" applyFont="0" applyFill="0" applyBorder="0" applyAlignment="0" applyProtection="0"/>
    <xf numFmtId="3" fontId="34" fillId="0" borderId="0" applyFill="0" applyBorder="0" applyAlignment="0" applyProtection="0"/>
    <xf numFmtId="0" fontId="35" fillId="0" borderId="0">
      <alignment vertical="center"/>
    </xf>
    <xf numFmtId="0" fontId="3" fillId="0" borderId="0"/>
    <xf numFmtId="0" fontId="3" fillId="0" borderId="0"/>
    <xf numFmtId="0" fontId="42" fillId="0" borderId="0" applyNumberFormat="0" applyFill="0" applyBorder="0" applyAlignment="0" applyProtection="0">
      <alignment vertical="top"/>
      <protection locked="0"/>
    </xf>
    <xf numFmtId="44"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167" fontId="3" fillId="0" borderId="0" applyFont="0" applyFill="0" applyBorder="0" applyAlignment="0" applyProtection="0"/>
    <xf numFmtId="168" fontId="54" fillId="0" borderId="0" applyFont="0" applyFill="0" applyBorder="0" applyAlignment="0" applyProtection="0"/>
    <xf numFmtId="168" fontId="54" fillId="0" borderId="0" applyFont="0" applyFill="0" applyBorder="0" applyAlignment="0" applyProtection="0"/>
    <xf numFmtId="40" fontId="55" fillId="0" borderId="0" applyFont="0" applyFill="0" applyBorder="0" applyAlignment="0" applyProtection="0"/>
    <xf numFmtId="167" fontId="54" fillId="0" borderId="0" applyFont="0" applyFill="0" applyBorder="0" applyAlignment="0" applyProtection="0"/>
    <xf numFmtId="165" fontId="55" fillId="0" borderId="0" applyFont="0" applyFill="0" applyBorder="0" applyAlignment="0" applyProtection="0"/>
    <xf numFmtId="0" fontId="2" fillId="0" borderId="0"/>
    <xf numFmtId="0" fontId="54" fillId="0" borderId="0"/>
    <xf numFmtId="0" fontId="54" fillId="0" borderId="0"/>
    <xf numFmtId="0" fontId="3" fillId="0" borderId="0"/>
    <xf numFmtId="0" fontId="2" fillId="0" borderId="0"/>
    <xf numFmtId="0" fontId="2" fillId="0" borderId="0"/>
    <xf numFmtId="0" fontId="54" fillId="0" borderId="0"/>
    <xf numFmtId="0" fontId="55" fillId="0" borderId="0"/>
    <xf numFmtId="9" fontId="54" fillId="0" borderId="0" applyFont="0" applyFill="0" applyBorder="0" applyAlignment="0" applyProtection="0"/>
    <xf numFmtId="9" fontId="54" fillId="0" borderId="0" applyFont="0" applyFill="0" applyBorder="0" applyAlignment="0" applyProtection="0"/>
    <xf numFmtId="9" fontId="54" fillId="0" borderId="0" applyFont="0" applyFill="0" applyBorder="0" applyAlignment="0" applyProtection="0"/>
    <xf numFmtId="9" fontId="55" fillId="0" borderId="0" applyFont="0" applyFill="0" applyBorder="0" applyAlignment="0" applyProtection="0"/>
    <xf numFmtId="0" fontId="56" fillId="0" borderId="0" applyNumberFormat="0" applyFill="0" applyBorder="0" applyAlignment="0" applyProtection="0">
      <alignment vertical="top"/>
      <protection locked="0"/>
    </xf>
    <xf numFmtId="0" fontId="1" fillId="0" borderId="0"/>
    <xf numFmtId="0" fontId="1" fillId="0" borderId="0"/>
    <xf numFmtId="0" fontId="1" fillId="0" borderId="0"/>
    <xf numFmtId="43" fontId="3" fillId="0" borderId="0" applyFont="0" applyFill="0" applyBorder="0" applyAlignment="0" applyProtection="0"/>
  </cellStyleXfs>
  <cellXfs count="1360">
    <xf numFmtId="0" fontId="0" fillId="0" borderId="0" xfId="0"/>
    <xf numFmtId="0" fontId="5" fillId="0" borderId="0" xfId="0" applyFont="1"/>
    <xf numFmtId="0" fontId="7" fillId="0" borderId="0" xfId="0" applyFont="1" applyFill="1" applyBorder="1" applyAlignment="1">
      <alignment horizontal="left"/>
    </xf>
    <xf numFmtId="0" fontId="7" fillId="0" borderId="0" xfId="0" applyFont="1" applyFill="1" applyBorder="1"/>
    <xf numFmtId="169" fontId="7" fillId="0" borderId="0" xfId="0" applyNumberFormat="1" applyFont="1" applyFill="1" applyBorder="1" applyAlignment="1">
      <alignment horizontal="left"/>
    </xf>
    <xf numFmtId="0" fontId="6" fillId="0" borderId="0" xfId="0" quotePrefix="1" applyFont="1" applyFill="1" applyBorder="1" applyAlignment="1">
      <alignment horizontal="left"/>
    </xf>
    <xf numFmtId="0" fontId="5" fillId="0" borderId="0" xfId="0" applyFont="1" applyBorder="1"/>
    <xf numFmtId="172" fontId="10" fillId="0" borderId="0" xfId="1" applyNumberFormat="1" applyFont="1" applyBorder="1"/>
    <xf numFmtId="0" fontId="12" fillId="0" borderId="0" xfId="5" applyFont="1" applyBorder="1" applyAlignment="1"/>
    <xf numFmtId="0" fontId="12" fillId="0" borderId="0" xfId="5" applyFont="1" applyBorder="1"/>
    <xf numFmtId="0" fontId="12" fillId="0" borderId="0" xfId="0" applyFont="1"/>
    <xf numFmtId="0" fontId="9" fillId="0" borderId="0" xfId="5" applyFont="1"/>
    <xf numFmtId="0" fontId="9" fillId="0" borderId="0" xfId="5" applyFont="1" applyBorder="1"/>
    <xf numFmtId="0" fontId="12" fillId="0" borderId="0" xfId="5" applyFont="1"/>
    <xf numFmtId="0" fontId="12" fillId="0" borderId="0" xfId="5" applyFont="1" applyAlignment="1"/>
    <xf numFmtId="0" fontId="12" fillId="0" borderId="0" xfId="0" applyFont="1" applyFill="1"/>
    <xf numFmtId="0" fontId="6" fillId="0" borderId="0" xfId="0" applyFont="1" applyFill="1" applyBorder="1" applyAlignment="1">
      <alignment horizontal="center"/>
    </xf>
    <xf numFmtId="0" fontId="12" fillId="0" borderId="0" xfId="0" applyFont="1" applyFill="1" applyBorder="1" applyAlignment="1">
      <alignment horizontal="center"/>
    </xf>
    <xf numFmtId="17" fontId="12" fillId="0" borderId="0" xfId="0" applyNumberFormat="1" applyFont="1" applyFill="1" applyBorder="1"/>
    <xf numFmtId="3" fontId="12" fillId="0" borderId="0" xfId="0" applyNumberFormat="1" applyFont="1" applyFill="1" applyBorder="1" applyProtection="1">
      <protection locked="0"/>
    </xf>
    <xf numFmtId="0" fontId="12" fillId="0" borderId="0" xfId="0" applyFont="1" applyFill="1" applyBorder="1" applyAlignment="1">
      <alignment horizontal="right"/>
    </xf>
    <xf numFmtId="17" fontId="12" fillId="0" borderId="0" xfId="0" applyNumberFormat="1" applyFont="1" applyFill="1" applyProtection="1">
      <protection locked="0"/>
    </xf>
    <xf numFmtId="0" fontId="12" fillId="0" borderId="0" xfId="0" applyFont="1" applyFill="1" applyBorder="1"/>
    <xf numFmtId="0" fontId="12" fillId="0" borderId="0" xfId="0" applyFont="1" applyFill="1" applyAlignment="1">
      <alignment horizontal="right"/>
    </xf>
    <xf numFmtId="3" fontId="10" fillId="0" borderId="0" xfId="1" applyNumberFormat="1" applyFont="1" applyFill="1" applyBorder="1" applyAlignment="1" applyProtection="1">
      <alignment horizontal="right"/>
    </xf>
    <xf numFmtId="17" fontId="12" fillId="0" borderId="0" xfId="0" applyNumberFormat="1" applyFont="1" applyFill="1" applyBorder="1" applyProtection="1">
      <protection locked="0"/>
    </xf>
    <xf numFmtId="169" fontId="15" fillId="0" borderId="0" xfId="0" applyNumberFormat="1" applyFont="1" applyFill="1" applyBorder="1" applyAlignment="1">
      <alignment horizontal="left"/>
    </xf>
    <xf numFmtId="49" fontId="10" fillId="0" borderId="0" xfId="0" applyNumberFormat="1" applyFont="1" applyBorder="1"/>
    <xf numFmtId="0" fontId="10" fillId="0" borderId="0" xfId="0" applyFont="1" applyBorder="1"/>
    <xf numFmtId="169" fontId="10" fillId="0" borderId="0" xfId="0" applyNumberFormat="1" applyFont="1" applyFill="1" applyBorder="1" applyAlignment="1">
      <alignment horizontal="left"/>
    </xf>
    <xf numFmtId="0" fontId="10" fillId="0" borderId="0" xfId="0" applyFont="1"/>
    <xf numFmtId="49" fontId="10" fillId="0" borderId="0" xfId="0" applyNumberFormat="1" applyFont="1"/>
    <xf numFmtId="0" fontId="16" fillId="0" borderId="0" xfId="0" applyFont="1"/>
    <xf numFmtId="0" fontId="16" fillId="0" borderId="0" xfId="0" applyFont="1" applyAlignment="1">
      <alignment horizontal="center"/>
    </xf>
    <xf numFmtId="0" fontId="10" fillId="0" borderId="0" xfId="0" applyFont="1" applyFill="1" applyBorder="1" applyAlignment="1">
      <alignment horizontal="left"/>
    </xf>
    <xf numFmtId="0" fontId="10" fillId="0" borderId="0" xfId="0" applyFont="1" applyFill="1" applyBorder="1"/>
    <xf numFmtId="0" fontId="16" fillId="0" borderId="0" xfId="0" quotePrefix="1" applyFont="1" applyFill="1" applyBorder="1" applyAlignment="1">
      <alignment horizontal="center"/>
    </xf>
    <xf numFmtId="49" fontId="18" fillId="0" borderId="0" xfId="0" applyNumberFormat="1" applyFont="1" applyFill="1" applyBorder="1" applyAlignment="1">
      <alignment horizontal="left"/>
    </xf>
    <xf numFmtId="169" fontId="18" fillId="0" borderId="0" xfId="0" applyNumberFormat="1" applyFont="1" applyFill="1" applyBorder="1" applyAlignment="1">
      <alignment horizontal="left"/>
    </xf>
    <xf numFmtId="49" fontId="10" fillId="0" borderId="0" xfId="0" quotePrefix="1" applyNumberFormat="1" applyFont="1" applyFill="1" applyBorder="1" applyAlignment="1">
      <alignment horizontal="left"/>
    </xf>
    <xf numFmtId="0" fontId="10" fillId="0" borderId="0" xfId="0" applyFont="1" applyAlignment="1">
      <alignment horizontal="center"/>
    </xf>
    <xf numFmtId="0" fontId="10" fillId="0" borderId="0" xfId="0" applyFont="1" applyFill="1" applyBorder="1" applyAlignment="1">
      <alignment horizontal="center"/>
    </xf>
    <xf numFmtId="49" fontId="10" fillId="0" borderId="0" xfId="0" applyNumberFormat="1" applyFont="1" applyFill="1" applyBorder="1" applyAlignment="1"/>
    <xf numFmtId="0" fontId="16" fillId="0" borderId="0" xfId="0" applyFont="1" applyBorder="1"/>
    <xf numFmtId="0" fontId="16" fillId="0" borderId="0" xfId="0" applyFont="1" applyFill="1" applyBorder="1"/>
    <xf numFmtId="0" fontId="10" fillId="0" borderId="0" xfId="0" applyFont="1" applyFill="1" applyBorder="1" applyAlignment="1"/>
    <xf numFmtId="0" fontId="10" fillId="0" borderId="0" xfId="0" applyFont="1" applyBorder="1" applyAlignment="1">
      <alignment horizontal="center"/>
    </xf>
    <xf numFmtId="9" fontId="10" fillId="0" borderId="0" xfId="0" applyNumberFormat="1" applyFont="1" applyBorder="1" applyAlignment="1">
      <alignment horizontal="left"/>
    </xf>
    <xf numFmtId="9" fontId="16" fillId="0" borderId="0" xfId="0" applyNumberFormat="1" applyFont="1" applyBorder="1" applyAlignment="1">
      <alignment horizontal="left"/>
    </xf>
    <xf numFmtId="0" fontId="10" fillId="0" borderId="0" xfId="0" quotePrefix="1" applyFont="1" applyFill="1" applyBorder="1" applyAlignment="1">
      <alignment horizontal="center"/>
    </xf>
    <xf numFmtId="0" fontId="16" fillId="0" borderId="0" xfId="0" applyFont="1" applyBorder="1" applyAlignment="1">
      <alignment horizontal="left"/>
    </xf>
    <xf numFmtId="172" fontId="16" fillId="0" borderId="0" xfId="1" applyNumberFormat="1" applyFont="1" applyBorder="1"/>
    <xf numFmtId="49" fontId="16" fillId="0" borderId="0" xfId="0" applyNumberFormat="1" applyFont="1" applyAlignment="1">
      <alignment horizontal="left"/>
    </xf>
    <xf numFmtId="0" fontId="17" fillId="0" borderId="0" xfId="0" applyFont="1" applyFill="1" applyBorder="1"/>
    <xf numFmtId="0" fontId="18" fillId="0" borderId="0" xfId="0" applyFont="1"/>
    <xf numFmtId="0" fontId="9" fillId="0" borderId="0" xfId="0" applyFont="1"/>
    <xf numFmtId="0" fontId="16" fillId="0" borderId="0" xfId="0" quotePrefix="1" applyFont="1" applyFill="1" applyBorder="1" applyAlignment="1">
      <alignment horizontal="left"/>
    </xf>
    <xf numFmtId="170" fontId="16" fillId="0" borderId="0" xfId="1" quotePrefix="1" applyNumberFormat="1" applyFont="1" applyFill="1" applyBorder="1" applyAlignment="1">
      <alignment horizontal="left"/>
    </xf>
    <xf numFmtId="49" fontId="16" fillId="0" borderId="0" xfId="0" quotePrefix="1" applyNumberFormat="1" applyFont="1" applyAlignment="1">
      <alignment horizontal="right"/>
    </xf>
    <xf numFmtId="49" fontId="16" fillId="0" borderId="0" xfId="0" quotePrefix="1" applyNumberFormat="1" applyFont="1" applyAlignment="1">
      <alignment horizontal="left"/>
    </xf>
    <xf numFmtId="0" fontId="10" fillId="0" borderId="4" xfId="0" applyFont="1" applyFill="1" applyBorder="1"/>
    <xf numFmtId="0" fontId="10" fillId="0" borderId="8" xfId="0" applyFont="1" applyBorder="1" applyAlignment="1">
      <alignment horizontal="center"/>
    </xf>
    <xf numFmtId="0" fontId="17" fillId="0" borderId="8" xfId="0" applyFont="1" applyBorder="1" applyAlignment="1">
      <alignment horizontal="center"/>
    </xf>
    <xf numFmtId="9" fontId="17" fillId="0" borderId="8" xfId="7" applyFont="1" applyBorder="1" applyAlignment="1">
      <alignment horizontal="center"/>
    </xf>
    <xf numFmtId="9" fontId="10" fillId="0" borderId="8" xfId="7" applyFont="1" applyBorder="1" applyAlignment="1">
      <alignment horizontal="center"/>
    </xf>
    <xf numFmtId="0" fontId="10" fillId="0" borderId="4" xfId="0" applyFont="1" applyFill="1" applyBorder="1" applyAlignment="1">
      <alignment horizontal="left"/>
    </xf>
    <xf numFmtId="0" fontId="17" fillId="0" borderId="8" xfId="0" applyFont="1" applyBorder="1"/>
    <xf numFmtId="0" fontId="10" fillId="0" borderId="8" xfId="0" applyFont="1" applyBorder="1"/>
    <xf numFmtId="3" fontId="17" fillId="0" borderId="8" xfId="1" applyNumberFormat="1" applyFont="1" applyBorder="1" applyAlignment="1">
      <alignment horizontal="center"/>
    </xf>
    <xf numFmtId="3" fontId="10" fillId="0" borderId="8" xfId="1" applyNumberFormat="1" applyFont="1" applyBorder="1" applyAlignment="1">
      <alignment horizontal="center"/>
    </xf>
    <xf numFmtId="0" fontId="10" fillId="0" borderId="4" xfId="0" applyFont="1" applyBorder="1"/>
    <xf numFmtId="0" fontId="16" fillId="0" borderId="4" xfId="0" quotePrefix="1" applyFont="1" applyFill="1" applyBorder="1" applyAlignment="1">
      <alignment horizontal="left"/>
    </xf>
    <xf numFmtId="0" fontId="17" fillId="0" borderId="8" xfId="0" applyFont="1" applyFill="1" applyBorder="1" applyAlignment="1">
      <alignment horizontal="center"/>
    </xf>
    <xf numFmtId="0" fontId="10" fillId="0" borderId="8" xfId="0" applyFont="1" applyFill="1" applyBorder="1" applyAlignment="1">
      <alignment horizontal="center"/>
    </xf>
    <xf numFmtId="1" fontId="17" fillId="0" borderId="8" xfId="0" applyNumberFormat="1" applyFont="1" applyBorder="1" applyAlignment="1">
      <alignment horizontal="center"/>
    </xf>
    <xf numFmtId="1" fontId="10" fillId="0" borderId="8" xfId="0" applyNumberFormat="1" applyFont="1" applyBorder="1" applyAlignment="1">
      <alignment horizontal="center"/>
    </xf>
    <xf numFmtId="0" fontId="10" fillId="0" borderId="10" xfId="0" applyFont="1" applyBorder="1"/>
    <xf numFmtId="0" fontId="10" fillId="0" borderId="6" xfId="0" applyFont="1" applyBorder="1"/>
    <xf numFmtId="0" fontId="17" fillId="0" borderId="9" xfId="0" applyFont="1" applyBorder="1"/>
    <xf numFmtId="0" fontId="10" fillId="0" borderId="9" xfId="0" applyFont="1" applyBorder="1"/>
    <xf numFmtId="0" fontId="16" fillId="0" borderId="0" xfId="4" applyFont="1" applyBorder="1" applyAlignment="1"/>
    <xf numFmtId="0" fontId="10" fillId="0" borderId="0" xfId="4" quotePrefix="1" applyFont="1" applyBorder="1" applyAlignment="1"/>
    <xf numFmtId="49" fontId="10" fillId="0" borderId="11" xfId="0" applyNumberFormat="1" applyFont="1" applyBorder="1"/>
    <xf numFmtId="0" fontId="10" fillId="0" borderId="11" xfId="0" applyFont="1" applyBorder="1"/>
    <xf numFmtId="49" fontId="18" fillId="0" borderId="0" xfId="0" quotePrefix="1" applyNumberFormat="1" applyFont="1" applyAlignment="1">
      <alignment horizontal="left"/>
    </xf>
    <xf numFmtId="0" fontId="23" fillId="2" borderId="5" xfId="0" applyFont="1" applyFill="1" applyBorder="1"/>
    <xf numFmtId="0" fontId="16" fillId="0" borderId="0" xfId="0" applyFont="1" applyBorder="1" applyAlignment="1">
      <alignment horizontal="center"/>
    </xf>
    <xf numFmtId="0" fontId="23" fillId="2" borderId="2" xfId="0" applyFont="1" applyFill="1" applyBorder="1"/>
    <xf numFmtId="0" fontId="23" fillId="2" borderId="5" xfId="0" applyFont="1" applyFill="1" applyBorder="1" applyAlignment="1">
      <alignment horizontal="left"/>
    </xf>
    <xf numFmtId="0" fontId="23" fillId="2" borderId="6" xfId="0" applyFont="1" applyFill="1" applyBorder="1"/>
    <xf numFmtId="0" fontId="16" fillId="0" borderId="0" xfId="0" applyFont="1" applyFill="1" applyBorder="1" applyAlignment="1">
      <alignment horizontal="left"/>
    </xf>
    <xf numFmtId="0" fontId="16" fillId="0" borderId="1" xfId="0" applyFont="1" applyFill="1" applyBorder="1" applyAlignment="1">
      <alignment horizontal="left"/>
    </xf>
    <xf numFmtId="0" fontId="10" fillId="0" borderId="1" xfId="0" applyFont="1" applyBorder="1"/>
    <xf numFmtId="0" fontId="10" fillId="0" borderId="3" xfId="0" applyFont="1" applyFill="1" applyBorder="1"/>
    <xf numFmtId="0" fontId="10" fillId="0" borderId="3" xfId="0" applyFont="1" applyBorder="1"/>
    <xf numFmtId="0" fontId="16" fillId="0" borderId="3" xfId="0" applyFont="1" applyFill="1" applyBorder="1" applyAlignment="1">
      <alignment horizontal="center"/>
    </xf>
    <xf numFmtId="0" fontId="16" fillId="0" borderId="3" xfId="0" quotePrefix="1" applyFont="1" applyFill="1" applyBorder="1" applyAlignment="1">
      <alignment horizontal="center"/>
    </xf>
    <xf numFmtId="0" fontId="16" fillId="0" borderId="5" xfId="0" quotePrefix="1" applyFont="1" applyFill="1" applyBorder="1" applyAlignment="1">
      <alignment horizontal="center"/>
    </xf>
    <xf numFmtId="0" fontId="10" fillId="0" borderId="5" xfId="0" applyFont="1" applyBorder="1"/>
    <xf numFmtId="0" fontId="23" fillId="2" borderId="1" xfId="0" applyFont="1" applyFill="1" applyBorder="1"/>
    <xf numFmtId="0" fontId="19" fillId="2" borderId="3" xfId="0" applyFont="1" applyFill="1" applyBorder="1" applyAlignment="1">
      <alignment horizontal="center"/>
    </xf>
    <xf numFmtId="0" fontId="16" fillId="0" borderId="0" xfId="0" quotePrefix="1" applyFont="1" applyBorder="1"/>
    <xf numFmtId="0" fontId="24" fillId="0" borderId="0" xfId="0" applyFont="1" applyBorder="1"/>
    <xf numFmtId="0" fontId="16" fillId="0" borderId="13" xfId="0" applyFont="1" applyBorder="1" applyAlignment="1">
      <alignment horizontal="center"/>
    </xf>
    <xf numFmtId="166" fontId="10" fillId="0" borderId="14" xfId="1" applyNumberFormat="1" applyFont="1" applyBorder="1"/>
    <xf numFmtId="166" fontId="10" fillId="0" borderId="15" xfId="1" applyNumberFormat="1" applyFont="1" applyBorder="1"/>
    <xf numFmtId="166" fontId="10" fillId="0" borderId="16" xfId="1" applyNumberFormat="1" applyFont="1" applyBorder="1"/>
    <xf numFmtId="9" fontId="10" fillId="0" borderId="17" xfId="7" applyFont="1" applyBorder="1"/>
    <xf numFmtId="0" fontId="16" fillId="0" borderId="17" xfId="0" applyFont="1" applyBorder="1" applyAlignment="1">
      <alignment horizontal="center"/>
    </xf>
    <xf numFmtId="166" fontId="10" fillId="0" borderId="15" xfId="1" applyNumberFormat="1" applyFont="1" applyFill="1" applyBorder="1"/>
    <xf numFmtId="166" fontId="10" fillId="0" borderId="14" xfId="1" applyNumberFormat="1" applyFont="1" applyFill="1" applyBorder="1"/>
    <xf numFmtId="166" fontId="10" fillId="0" borderId="16" xfId="1" applyNumberFormat="1" applyFont="1" applyFill="1" applyBorder="1"/>
    <xf numFmtId="166" fontId="10" fillId="0" borderId="0" xfId="0" applyNumberFormat="1" applyFont="1" applyFill="1" applyBorder="1"/>
    <xf numFmtId="166" fontId="10" fillId="0" borderId="15" xfId="0" applyNumberFormat="1" applyFont="1" applyFill="1" applyBorder="1"/>
    <xf numFmtId="166" fontId="10" fillId="0" borderId="18" xfId="1" applyNumberFormat="1" applyFont="1" applyFill="1" applyBorder="1"/>
    <xf numFmtId="166" fontId="10" fillId="0" borderId="19" xfId="1" applyNumberFormat="1" applyFont="1" applyBorder="1"/>
    <xf numFmtId="166" fontId="10" fillId="0" borderId="19" xfId="1" applyNumberFormat="1" applyFont="1" applyFill="1" applyBorder="1"/>
    <xf numFmtId="0" fontId="16" fillId="0" borderId="20" xfId="0" applyFont="1" applyBorder="1" applyAlignment="1">
      <alignment horizontal="center"/>
    </xf>
    <xf numFmtId="0" fontId="19" fillId="2" borderId="21" xfId="0" applyNumberFormat="1" applyFont="1" applyFill="1" applyBorder="1" applyAlignment="1">
      <alignment horizontal="center" vertical="top" wrapText="1"/>
    </xf>
    <xf numFmtId="0" fontId="19" fillId="2" borderId="22" xfId="0" applyNumberFormat="1" applyFont="1" applyFill="1" applyBorder="1" applyAlignment="1">
      <alignment horizontal="center" vertical="top" wrapText="1"/>
    </xf>
    <xf numFmtId="0" fontId="19" fillId="2" borderId="23" xfId="0" applyNumberFormat="1" applyFont="1" applyFill="1" applyBorder="1" applyAlignment="1">
      <alignment horizontal="center" vertical="top" wrapText="1"/>
    </xf>
    <xf numFmtId="0" fontId="19" fillId="2" borderId="24" xfId="0" applyNumberFormat="1" applyFont="1" applyFill="1" applyBorder="1" applyAlignment="1">
      <alignment horizontal="center" vertical="top" wrapText="1"/>
    </xf>
    <xf numFmtId="0" fontId="19" fillId="2" borderId="25" xfId="0" applyNumberFormat="1" applyFont="1" applyFill="1" applyBorder="1" applyAlignment="1">
      <alignment horizontal="center" vertical="top" wrapText="1"/>
    </xf>
    <xf numFmtId="0" fontId="19" fillId="2" borderId="23" xfId="0" applyNumberFormat="1" applyFont="1" applyFill="1" applyBorder="1" applyAlignment="1">
      <alignment horizontal="center" vertical="center" wrapText="1"/>
    </xf>
    <xf numFmtId="0" fontId="19" fillId="2" borderId="26" xfId="0" applyNumberFormat="1" applyFont="1" applyFill="1" applyBorder="1" applyAlignment="1">
      <alignment horizontal="center" vertical="top" wrapText="1"/>
    </xf>
    <xf numFmtId="0" fontId="19" fillId="2" borderId="8" xfId="0" applyNumberFormat="1" applyFont="1" applyFill="1" applyBorder="1" applyAlignment="1">
      <alignment horizontal="center" vertical="top" wrapText="1"/>
    </xf>
    <xf numFmtId="0" fontId="19" fillId="2" borderId="20" xfId="0" applyNumberFormat="1" applyFont="1" applyFill="1" applyBorder="1" applyAlignment="1">
      <alignment horizontal="center" vertical="top" wrapText="1"/>
    </xf>
    <xf numFmtId="0" fontId="19" fillId="2" borderId="4" xfId="0" applyNumberFormat="1" applyFont="1" applyFill="1" applyBorder="1" applyAlignment="1">
      <alignment horizontal="center" vertical="top" wrapText="1"/>
    </xf>
    <xf numFmtId="0" fontId="19" fillId="2" borderId="27" xfId="0" applyNumberFormat="1" applyFont="1" applyFill="1" applyBorder="1" applyAlignment="1">
      <alignment horizontal="center" vertical="top" wrapText="1"/>
    </xf>
    <xf numFmtId="0" fontId="19" fillId="2" borderId="20" xfId="0" applyNumberFormat="1" applyFont="1" applyFill="1" applyBorder="1" applyAlignment="1">
      <alignment horizontal="center" vertical="center" wrapText="1"/>
    </xf>
    <xf numFmtId="0" fontId="19" fillId="2" borderId="28" xfId="0" applyNumberFormat="1" applyFont="1" applyFill="1" applyBorder="1" applyAlignment="1">
      <alignment horizontal="center"/>
    </xf>
    <xf numFmtId="0" fontId="19" fillId="2" borderId="29" xfId="0" applyNumberFormat="1" applyFont="1" applyFill="1" applyBorder="1" applyAlignment="1">
      <alignment horizontal="center"/>
    </xf>
    <xf numFmtId="0" fontId="19" fillId="2" borderId="30" xfId="0" applyNumberFormat="1" applyFont="1" applyFill="1" applyBorder="1" applyAlignment="1">
      <alignment horizontal="center"/>
    </xf>
    <xf numFmtId="0" fontId="19" fillId="2" borderId="31" xfId="0" applyNumberFormat="1" applyFont="1" applyFill="1" applyBorder="1" applyAlignment="1">
      <alignment horizontal="center"/>
    </xf>
    <xf numFmtId="166" fontId="23" fillId="2" borderId="17" xfId="1" applyNumberFormat="1" applyFont="1" applyFill="1" applyBorder="1"/>
    <xf numFmtId="166" fontId="19" fillId="2" borderId="32" xfId="0" applyNumberFormat="1" applyFont="1" applyFill="1" applyBorder="1" applyAlignment="1">
      <alignment vertical="center"/>
    </xf>
    <xf numFmtId="166" fontId="19" fillId="2" borderId="32" xfId="0" applyNumberFormat="1" applyFont="1" applyFill="1" applyBorder="1" applyAlignment="1">
      <alignment horizontal="center" vertical="center"/>
    </xf>
    <xf numFmtId="166" fontId="19" fillId="2" borderId="33" xfId="0" applyNumberFormat="1" applyFont="1" applyFill="1" applyBorder="1" applyAlignment="1">
      <alignment vertical="center"/>
    </xf>
    <xf numFmtId="166" fontId="19" fillId="2" borderId="34" xfId="0" applyNumberFormat="1" applyFont="1" applyFill="1" applyBorder="1" applyAlignment="1">
      <alignment vertical="center"/>
    </xf>
    <xf numFmtId="166" fontId="19" fillId="2" borderId="35" xfId="0" applyNumberFormat="1" applyFont="1" applyFill="1" applyBorder="1" applyAlignment="1">
      <alignment vertical="center"/>
    </xf>
    <xf numFmtId="9" fontId="19" fillId="2" borderId="32" xfId="7" applyFont="1" applyFill="1" applyBorder="1" applyAlignment="1">
      <alignment vertical="center"/>
    </xf>
    <xf numFmtId="0" fontId="19" fillId="2" borderId="4" xfId="0" applyFont="1" applyFill="1" applyBorder="1" applyAlignment="1">
      <alignment horizontal="center"/>
    </xf>
    <xf numFmtId="0" fontId="25" fillId="2" borderId="0" xfId="0" applyFont="1" applyFill="1" applyBorder="1"/>
    <xf numFmtId="0" fontId="10" fillId="0" borderId="36" xfId="0" applyFont="1" applyBorder="1"/>
    <xf numFmtId="0" fontId="25" fillId="2" borderId="12" xfId="0" applyFont="1" applyFill="1" applyBorder="1"/>
    <xf numFmtId="0" fontId="26" fillId="2" borderId="12" xfId="0" applyFont="1" applyFill="1" applyBorder="1" applyAlignment="1">
      <alignment horizontal="center"/>
    </xf>
    <xf numFmtId="0" fontId="26" fillId="2" borderId="0" xfId="0" applyFont="1" applyFill="1" applyBorder="1" applyAlignment="1">
      <alignment horizontal="center"/>
    </xf>
    <xf numFmtId="43" fontId="10" fillId="0" borderId="4" xfId="1" applyNumberFormat="1" applyFont="1" applyBorder="1"/>
    <xf numFmtId="43" fontId="10" fillId="0" borderId="10" xfId="1" applyNumberFormat="1" applyFont="1" applyBorder="1"/>
    <xf numFmtId="43" fontId="10" fillId="0" borderId="6" xfId="1" applyNumberFormat="1" applyFont="1" applyBorder="1"/>
    <xf numFmtId="0" fontId="10" fillId="0" borderId="9" xfId="0" applyFont="1" applyFill="1" applyBorder="1" applyAlignment="1">
      <alignment horizontal="center"/>
    </xf>
    <xf numFmtId="172" fontId="10" fillId="0" borderId="8" xfId="1" applyNumberFormat="1" applyFont="1" applyBorder="1"/>
    <xf numFmtId="0" fontId="25" fillId="2" borderId="7" xfId="0" applyFont="1" applyFill="1" applyBorder="1"/>
    <xf numFmtId="0" fontId="25" fillId="2" borderId="8" xfId="0" applyFont="1" applyFill="1" applyBorder="1"/>
    <xf numFmtId="0" fontId="26" fillId="2" borderId="7" xfId="0" applyFont="1" applyFill="1" applyBorder="1" applyAlignment="1">
      <alignment horizontal="center"/>
    </xf>
    <xf numFmtId="0" fontId="26" fillId="2" borderId="8" xfId="0" applyFont="1" applyFill="1" applyBorder="1" applyAlignment="1">
      <alignment horizontal="center"/>
    </xf>
    <xf numFmtId="172" fontId="10" fillId="0" borderId="10" xfId="1" applyNumberFormat="1" applyFont="1" applyBorder="1"/>
    <xf numFmtId="43" fontId="10" fillId="0" borderId="8" xfId="1" applyNumberFormat="1" applyFont="1" applyBorder="1"/>
    <xf numFmtId="43" fontId="10" fillId="0" borderId="9" xfId="1" applyNumberFormat="1" applyFont="1" applyBorder="1"/>
    <xf numFmtId="0" fontId="10" fillId="0" borderId="0" xfId="0" applyFont="1" applyAlignment="1">
      <alignment vertical="center" wrapText="1"/>
    </xf>
    <xf numFmtId="9" fontId="10" fillId="0" borderId="0" xfId="0" applyNumberFormat="1" applyFont="1" applyBorder="1" applyAlignment="1">
      <alignment horizontal="left" vertical="center"/>
    </xf>
    <xf numFmtId="0" fontId="25" fillId="0" borderId="12" xfId="0" applyFont="1" applyFill="1" applyBorder="1"/>
    <xf numFmtId="0" fontId="26" fillId="0" borderId="12" xfId="0" applyFont="1" applyFill="1" applyBorder="1" applyAlignment="1">
      <alignment horizontal="center"/>
    </xf>
    <xf numFmtId="0" fontId="26" fillId="0" borderId="2" xfId="0" applyFont="1" applyFill="1" applyBorder="1" applyAlignment="1">
      <alignment horizontal="center" vertical="top" wrapText="1"/>
    </xf>
    <xf numFmtId="0" fontId="25" fillId="0" borderId="7" xfId="0" applyFont="1" applyFill="1" applyBorder="1"/>
    <xf numFmtId="0" fontId="25" fillId="0" borderId="2" xfId="0" applyFont="1" applyFill="1" applyBorder="1"/>
    <xf numFmtId="0" fontId="16" fillId="0" borderId="4" xfId="0" applyFont="1" applyBorder="1" applyAlignment="1">
      <alignment horizontal="left"/>
    </xf>
    <xf numFmtId="0" fontId="26" fillId="0" borderId="7" xfId="0" applyFont="1" applyFill="1" applyBorder="1" applyAlignment="1">
      <alignment horizontal="center"/>
    </xf>
    <xf numFmtId="172" fontId="16" fillId="0" borderId="8" xfId="1" applyNumberFormat="1" applyFont="1" applyBorder="1"/>
    <xf numFmtId="0" fontId="26" fillId="0" borderId="7" xfId="0" applyFont="1" applyFill="1" applyBorder="1" applyAlignment="1">
      <alignment horizontal="center" vertical="top" wrapText="1"/>
    </xf>
    <xf numFmtId="9" fontId="10" fillId="0" borderId="10" xfId="0" applyNumberFormat="1" applyFont="1" applyBorder="1" applyAlignment="1">
      <alignment horizontal="left"/>
    </xf>
    <xf numFmtId="0" fontId="17" fillId="0" borderId="0" xfId="0" applyFont="1" applyFill="1" applyBorder="1" applyAlignment="1">
      <alignment vertical="center" wrapText="1"/>
    </xf>
    <xf numFmtId="3" fontId="10" fillId="0" borderId="36" xfId="3" applyNumberFormat="1" applyFont="1" applyBorder="1" applyAlignment="1" applyProtection="1">
      <protection locked="0"/>
    </xf>
    <xf numFmtId="176" fontId="25" fillId="2" borderId="10" xfId="0" applyNumberFormat="1" applyFont="1" applyFill="1" applyBorder="1" applyAlignment="1" applyProtection="1"/>
    <xf numFmtId="0" fontId="25" fillId="2" borderId="36" xfId="0" applyFont="1" applyFill="1" applyBorder="1" applyAlignment="1" applyProtection="1">
      <alignment horizontal="center"/>
    </xf>
    <xf numFmtId="176" fontId="10" fillId="4" borderId="10" xfId="0" applyNumberFormat="1" applyFont="1" applyFill="1" applyBorder="1" applyAlignment="1" applyProtection="1"/>
    <xf numFmtId="175" fontId="17" fillId="4" borderId="37" xfId="0" applyNumberFormat="1" applyFont="1" applyFill="1" applyBorder="1" applyAlignment="1" applyProtection="1">
      <alignment horizontal="center"/>
      <protection locked="0"/>
    </xf>
    <xf numFmtId="0" fontId="10" fillId="4" borderId="38" xfId="0" applyFont="1" applyFill="1" applyBorder="1" applyAlignment="1" applyProtection="1">
      <alignment horizontal="center"/>
      <protection locked="0"/>
    </xf>
    <xf numFmtId="0" fontId="10" fillId="4" borderId="36" xfId="0" applyFont="1" applyFill="1" applyBorder="1" applyAlignment="1" applyProtection="1">
      <alignment horizontal="center"/>
    </xf>
    <xf numFmtId="0" fontId="10" fillId="0" borderId="3" xfId="4" applyFont="1" applyBorder="1"/>
    <xf numFmtId="0" fontId="10" fillId="0" borderId="3" xfId="4" applyFont="1" applyBorder="1" applyAlignment="1"/>
    <xf numFmtId="0" fontId="25" fillId="0" borderId="3" xfId="4" applyFont="1" applyBorder="1" applyAlignment="1"/>
    <xf numFmtId="0" fontId="10" fillId="0" borderId="5" xfId="4" applyFont="1" applyBorder="1" applyAlignment="1"/>
    <xf numFmtId="0" fontId="16" fillId="4" borderId="36" xfId="0" applyFont="1" applyFill="1" applyBorder="1" applyAlignment="1">
      <alignment horizontal="center" vertical="center"/>
    </xf>
    <xf numFmtId="0" fontId="19" fillId="2" borderId="36" xfId="0" applyFont="1" applyFill="1" applyBorder="1" applyAlignment="1">
      <alignment horizontal="center" vertical="center"/>
    </xf>
    <xf numFmtId="0" fontId="10" fillId="0" borderId="0" xfId="0" applyFont="1" applyFill="1" applyBorder="1" applyAlignment="1">
      <alignment vertical="center" wrapText="1"/>
    </xf>
    <xf numFmtId="0" fontId="25" fillId="2" borderId="1" xfId="0" applyFont="1" applyFill="1" applyBorder="1"/>
    <xf numFmtId="0" fontId="16" fillId="0" borderId="10" xfId="0" applyFont="1" applyBorder="1" applyAlignment="1">
      <alignment horizontal="right"/>
    </xf>
    <xf numFmtId="0" fontId="25" fillId="2" borderId="5" xfId="0" applyFont="1" applyFill="1" applyBorder="1"/>
    <xf numFmtId="0" fontId="25" fillId="2" borderId="10" xfId="0" applyFont="1" applyFill="1" applyBorder="1"/>
    <xf numFmtId="0" fontId="26" fillId="2" borderId="5" xfId="0" applyFont="1" applyFill="1" applyBorder="1" applyAlignment="1">
      <alignment horizontal="center"/>
    </xf>
    <xf numFmtId="0" fontId="26" fillId="2" borderId="9" xfId="0" applyFont="1" applyFill="1" applyBorder="1" applyAlignment="1">
      <alignment horizontal="center"/>
    </xf>
    <xf numFmtId="0" fontId="10" fillId="0" borderId="37" xfId="0" applyFont="1" applyBorder="1"/>
    <xf numFmtId="0" fontId="17" fillId="0" borderId="39" xfId="0" applyFont="1" applyFill="1" applyBorder="1" applyAlignment="1">
      <alignment vertical="center" wrapText="1"/>
    </xf>
    <xf numFmtId="0" fontId="10" fillId="0" borderId="39" xfId="0" applyFont="1" applyFill="1" applyBorder="1" applyAlignment="1">
      <alignment vertical="center" wrapText="1"/>
    </xf>
    <xf numFmtId="0" fontId="16" fillId="0" borderId="37" xfId="0" quotePrefix="1" applyFont="1" applyFill="1" applyBorder="1" applyAlignment="1">
      <alignment horizontal="center"/>
    </xf>
    <xf numFmtId="0" fontId="10" fillId="0" borderId="38" xfId="0" applyFont="1" applyFill="1" applyBorder="1" applyAlignment="1">
      <alignment vertical="center" wrapText="1"/>
    </xf>
    <xf numFmtId="0" fontId="23" fillId="2" borderId="7" xfId="0" applyFont="1" applyFill="1" applyBorder="1"/>
    <xf numFmtId="0" fontId="19" fillId="2" borderId="8" xfId="0" applyFont="1" applyFill="1" applyBorder="1" applyAlignment="1">
      <alignment horizontal="center"/>
    </xf>
    <xf numFmtId="0" fontId="23" fillId="2" borderId="9" xfId="0" applyFont="1" applyFill="1" applyBorder="1"/>
    <xf numFmtId="0" fontId="10" fillId="0" borderId="7" xfId="0" applyFont="1" applyBorder="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2" xfId="0" applyFont="1" applyBorder="1" applyAlignment="1">
      <alignment vertical="center" wrapText="1"/>
    </xf>
    <xf numFmtId="0" fontId="10" fillId="0" borderId="4" xfId="0" applyFont="1" applyBorder="1" applyAlignment="1">
      <alignment vertical="center" wrapText="1"/>
    </xf>
    <xf numFmtId="0" fontId="10" fillId="0" borderId="6" xfId="0" applyFont="1" applyBorder="1" applyAlignment="1">
      <alignment vertical="center" wrapText="1"/>
    </xf>
    <xf numFmtId="0" fontId="15" fillId="0" borderId="0" xfId="5" applyFont="1" applyBorder="1" applyAlignment="1" applyProtection="1">
      <protection locked="0"/>
    </xf>
    <xf numFmtId="0" fontId="15" fillId="0" borderId="0" xfId="0" quotePrefix="1" applyFont="1"/>
    <xf numFmtId="0" fontId="28" fillId="2" borderId="36" xfId="0" applyFont="1" applyFill="1" applyBorder="1" applyAlignment="1">
      <alignment horizontal="centerContinuous"/>
    </xf>
    <xf numFmtId="0" fontId="12" fillId="0" borderId="1" xfId="0" applyFont="1" applyFill="1" applyBorder="1" applyAlignment="1">
      <alignment horizontal="center"/>
    </xf>
    <xf numFmtId="17" fontId="12" fillId="0" borderId="12" xfId="0" applyNumberFormat="1" applyFont="1" applyFill="1" applyBorder="1"/>
    <xf numFmtId="3" fontId="12" fillId="0" borderId="12" xfId="0" applyNumberFormat="1" applyFont="1" applyFill="1" applyBorder="1" applyProtection="1">
      <protection locked="0"/>
    </xf>
    <xf numFmtId="3" fontId="10" fillId="0" borderId="2" xfId="1" applyNumberFormat="1" applyFont="1" applyFill="1" applyBorder="1" applyAlignment="1" applyProtection="1">
      <alignment horizontal="right"/>
    </xf>
    <xf numFmtId="0" fontId="12" fillId="0" borderId="3" xfId="0" applyFont="1" applyFill="1" applyBorder="1" applyAlignment="1">
      <alignment horizontal="center"/>
    </xf>
    <xf numFmtId="3" fontId="10" fillId="0" borderId="4" xfId="1" applyNumberFormat="1" applyFont="1" applyFill="1" applyBorder="1" applyAlignment="1" applyProtection="1">
      <alignment horizontal="right"/>
    </xf>
    <xf numFmtId="0" fontId="12" fillId="0" borderId="5" xfId="0" applyFont="1" applyFill="1" applyBorder="1" applyAlignment="1">
      <alignment horizontal="center"/>
    </xf>
    <xf numFmtId="17" fontId="12" fillId="0" borderId="10" xfId="0" applyNumberFormat="1" applyFont="1" applyFill="1" applyBorder="1"/>
    <xf numFmtId="3" fontId="12" fillId="0" borderId="10" xfId="0" applyNumberFormat="1" applyFont="1" applyFill="1" applyBorder="1" applyProtection="1">
      <protection locked="0"/>
    </xf>
    <xf numFmtId="3" fontId="10" fillId="0" borderId="6" xfId="1" applyNumberFormat="1" applyFont="1" applyFill="1" applyBorder="1" applyAlignment="1" applyProtection="1">
      <alignment horizontal="right"/>
    </xf>
    <xf numFmtId="0" fontId="28" fillId="2" borderId="7" xfId="0" applyFont="1" applyFill="1" applyBorder="1" applyAlignment="1">
      <alignment horizontal="center"/>
    </xf>
    <xf numFmtId="0" fontId="28" fillId="2" borderId="7" xfId="0" applyFont="1" applyFill="1" applyBorder="1" applyAlignment="1">
      <alignment horizontal="center" wrapText="1"/>
    </xf>
    <xf numFmtId="169" fontId="15" fillId="0" borderId="0" xfId="0" quotePrefix="1" applyNumberFormat="1" applyFont="1" applyFill="1" applyBorder="1" applyAlignment="1">
      <alignment horizontal="left"/>
    </xf>
    <xf numFmtId="0" fontId="15" fillId="0" borderId="0" xfId="0" applyFont="1" applyFill="1" applyProtection="1"/>
    <xf numFmtId="0" fontId="10" fillId="0" borderId="0" xfId="0" applyFont="1" applyFill="1" applyAlignment="1" applyProtection="1"/>
    <xf numFmtId="0" fontId="9" fillId="0" borderId="0" xfId="0" applyFont="1" applyAlignment="1" applyProtection="1"/>
    <xf numFmtId="0" fontId="10" fillId="0" borderId="0" xfId="0" applyFont="1" applyFill="1" applyProtection="1"/>
    <xf numFmtId="3" fontId="10" fillId="4" borderId="5" xfId="0" quotePrefix="1" applyNumberFormat="1" applyFont="1" applyFill="1" applyBorder="1" applyAlignment="1" applyProtection="1">
      <alignment horizontal="right"/>
      <protection locked="0"/>
    </xf>
    <xf numFmtId="0" fontId="18" fillId="0" borderId="0" xfId="0" quotePrefix="1" applyFont="1" applyBorder="1" applyAlignment="1" applyProtection="1">
      <alignment horizontal="left"/>
    </xf>
    <xf numFmtId="0" fontId="18" fillId="0" borderId="0" xfId="0" applyFont="1" applyBorder="1" applyAlignment="1" applyProtection="1"/>
    <xf numFmtId="0" fontId="10" fillId="0" borderId="0" xfId="0" applyFont="1" applyBorder="1" applyAlignment="1" applyProtection="1"/>
    <xf numFmtId="0" fontId="15" fillId="0" borderId="0" xfId="0" quotePrefix="1" applyFont="1" applyBorder="1" applyAlignment="1" applyProtection="1">
      <alignment horizontal="left"/>
    </xf>
    <xf numFmtId="0" fontId="15" fillId="0" borderId="0" xfId="0" applyFont="1" applyBorder="1" applyAlignment="1" applyProtection="1"/>
    <xf numFmtId="0" fontId="16" fillId="0" borderId="0" xfId="0" quotePrefix="1" applyFont="1" applyBorder="1" applyAlignment="1" applyProtection="1">
      <alignment horizontal="right"/>
    </xf>
    <xf numFmtId="0" fontId="16" fillId="0" borderId="0" xfId="0" applyFont="1" applyBorder="1" applyAlignment="1" applyProtection="1"/>
    <xf numFmtId="49" fontId="16" fillId="0" borderId="0" xfId="0" quotePrefix="1" applyNumberFormat="1" applyFont="1" applyBorder="1" applyAlignment="1" applyProtection="1">
      <alignment horizontal="left"/>
    </xf>
    <xf numFmtId="0" fontId="10" fillId="0" borderId="10" xfId="0" applyFont="1" applyBorder="1" applyAlignment="1" applyProtection="1"/>
    <xf numFmtId="3" fontId="26" fillId="2" borderId="37" xfId="0" applyNumberFormat="1" applyFont="1" applyFill="1" applyBorder="1" applyAlignment="1" applyProtection="1"/>
    <xf numFmtId="0" fontId="25" fillId="2" borderId="38" xfId="0" applyFont="1" applyFill="1" applyBorder="1" applyAlignment="1" applyProtection="1"/>
    <xf numFmtId="0" fontId="26" fillId="2" borderId="39" xfId="0" applyFont="1" applyFill="1" applyBorder="1" applyAlignment="1" applyProtection="1">
      <alignment horizontal="center"/>
    </xf>
    <xf numFmtId="0" fontId="10" fillId="4" borderId="37" xfId="0" applyFont="1" applyFill="1" applyBorder="1" applyAlignment="1" applyProtection="1">
      <alignment horizontal="center"/>
    </xf>
    <xf numFmtId="0" fontId="10" fillId="4" borderId="39" xfId="0" applyFont="1" applyFill="1" applyBorder="1" applyAlignment="1" applyProtection="1">
      <alignment horizontal="center"/>
    </xf>
    <xf numFmtId="0" fontId="10" fillId="4" borderId="38" xfId="0" applyFont="1" applyFill="1" applyBorder="1" applyAlignment="1" applyProtection="1">
      <alignment horizontal="center"/>
    </xf>
    <xf numFmtId="0" fontId="25" fillId="2" borderId="37" xfId="0" applyFont="1" applyFill="1" applyBorder="1" applyAlignment="1" applyProtection="1">
      <alignment horizontal="center"/>
    </xf>
    <xf numFmtId="0" fontId="25" fillId="2" borderId="39" xfId="0" applyFont="1" applyFill="1" applyBorder="1" applyAlignment="1" applyProtection="1">
      <alignment horizontal="center"/>
    </xf>
    <xf numFmtId="0" fontId="25" fillId="2" borderId="38" xfId="0" applyFont="1" applyFill="1" applyBorder="1" applyAlignment="1" applyProtection="1">
      <alignment horizontal="center"/>
    </xf>
    <xf numFmtId="0" fontId="26" fillId="2" borderId="5" xfId="0" applyFont="1" applyFill="1" applyBorder="1" applyAlignment="1" applyProtection="1"/>
    <xf numFmtId="0" fontId="25" fillId="2" borderId="6" xfId="0" applyFont="1" applyFill="1" applyBorder="1" applyAlignment="1" applyProtection="1"/>
    <xf numFmtId="0" fontId="10" fillId="4" borderId="10" xfId="0" applyFont="1" applyFill="1" applyBorder="1" applyAlignment="1" applyProtection="1">
      <alignment horizontal="left"/>
    </xf>
    <xf numFmtId="0" fontId="10" fillId="4" borderId="6" xfId="0" applyFont="1" applyFill="1" applyBorder="1" applyAlignment="1" applyProtection="1">
      <alignment horizontal="center"/>
    </xf>
    <xf numFmtId="0" fontId="25" fillId="2" borderId="10" xfId="0" applyFont="1" applyFill="1" applyBorder="1" applyAlignment="1" applyProtection="1">
      <alignment horizontal="left"/>
    </xf>
    <xf numFmtId="0" fontId="25" fillId="2" borderId="6" xfId="0" applyFont="1" applyFill="1" applyBorder="1" applyAlignment="1" applyProtection="1">
      <alignment horizontal="center"/>
    </xf>
    <xf numFmtId="0" fontId="25" fillId="2" borderId="10" xfId="0" applyFont="1" applyFill="1" applyBorder="1" applyAlignment="1" applyProtection="1">
      <alignment horizontal="center"/>
    </xf>
    <xf numFmtId="0" fontId="17" fillId="4" borderId="39" xfId="0" applyFont="1" applyFill="1" applyBorder="1" applyAlignment="1" applyProtection="1">
      <alignment horizontal="center"/>
    </xf>
    <xf numFmtId="0" fontId="27" fillId="2" borderId="39" xfId="0" applyFont="1" applyFill="1" applyBorder="1" applyAlignment="1" applyProtection="1">
      <alignment horizontal="center"/>
    </xf>
    <xf numFmtId="3" fontId="26" fillId="2" borderId="5" xfId="0" applyNumberFormat="1" applyFont="1" applyFill="1" applyBorder="1" applyAlignment="1" applyProtection="1"/>
    <xf numFmtId="3" fontId="10" fillId="0" borderId="36" xfId="3" applyNumberFormat="1" applyFont="1" applyBorder="1" applyAlignment="1" applyProtection="1"/>
    <xf numFmtId="1" fontId="10" fillId="0" borderId="36" xfId="3" applyNumberFormat="1" applyFont="1" applyBorder="1" applyAlignment="1" applyProtection="1"/>
    <xf numFmtId="4" fontId="10" fillId="0" borderId="36" xfId="3" applyNumberFormat="1" applyFont="1" applyBorder="1" applyAlignment="1" applyProtection="1"/>
    <xf numFmtId="10" fontId="10" fillId="0" borderId="36" xfId="7" applyNumberFormat="1" applyFont="1" applyBorder="1" applyAlignment="1" applyProtection="1"/>
    <xf numFmtId="10" fontId="10" fillId="0" borderId="37" xfId="7" applyNumberFormat="1" applyFont="1" applyBorder="1" applyAlignment="1" applyProtection="1"/>
    <xf numFmtId="10" fontId="10" fillId="0" borderId="38" xfId="7" applyNumberFormat="1" applyFont="1" applyBorder="1" applyAlignment="1" applyProtection="1"/>
    <xf numFmtId="10" fontId="10" fillId="0" borderId="3" xfId="7" applyNumberFormat="1" applyFont="1" applyBorder="1" applyAlignment="1" applyProtection="1"/>
    <xf numFmtId="10" fontId="10" fillId="0" borderId="4" xfId="7" applyNumberFormat="1" applyFont="1" applyBorder="1" applyAlignment="1" applyProtection="1"/>
    <xf numFmtId="10" fontId="10" fillId="0" borderId="5" xfId="7" applyNumberFormat="1" applyFont="1" applyBorder="1" applyAlignment="1" applyProtection="1"/>
    <xf numFmtId="10" fontId="10" fillId="0" borderId="6" xfId="7" applyNumberFormat="1" applyFont="1" applyBorder="1" applyAlignment="1" applyProtection="1"/>
    <xf numFmtId="3" fontId="22" fillId="2" borderId="36" xfId="0" applyNumberFormat="1" applyFont="1" applyFill="1" applyBorder="1" applyAlignment="1" applyProtection="1"/>
    <xf numFmtId="3" fontId="12" fillId="4" borderId="36" xfId="0" applyNumberFormat="1" applyFont="1" applyFill="1" applyBorder="1" applyAlignment="1" applyProtection="1">
      <alignment horizontal="right"/>
    </xf>
    <xf numFmtId="4" fontId="12" fillId="4" borderId="36" xfId="0" applyNumberFormat="1" applyFont="1" applyFill="1" applyBorder="1" applyAlignment="1" applyProtection="1">
      <alignment horizontal="right"/>
    </xf>
    <xf numFmtId="10" fontId="12" fillId="4" borderId="36" xfId="7" applyNumberFormat="1" applyFont="1" applyFill="1" applyBorder="1" applyAlignment="1" applyProtection="1">
      <alignment horizontal="right"/>
    </xf>
    <xf numFmtId="3" fontId="22" fillId="2" borderId="36" xfId="0" applyNumberFormat="1" applyFont="1" applyFill="1" applyBorder="1" applyAlignment="1" applyProtection="1">
      <alignment horizontal="right"/>
    </xf>
    <xf numFmtId="4" fontId="22" fillId="2" borderId="36" xfId="0" applyNumberFormat="1" applyFont="1" applyFill="1" applyBorder="1" applyAlignment="1" applyProtection="1">
      <alignment horizontal="right"/>
    </xf>
    <xf numFmtId="10" fontId="22" fillId="2" borderId="36" xfId="7" applyNumberFormat="1" applyFont="1" applyFill="1" applyBorder="1" applyAlignment="1" applyProtection="1">
      <alignment horizontal="right"/>
    </xf>
    <xf numFmtId="10" fontId="22" fillId="2" borderId="1" xfId="7" applyNumberFormat="1" applyFont="1" applyFill="1" applyBorder="1" applyAlignment="1" applyProtection="1"/>
    <xf numFmtId="10" fontId="22" fillId="2" borderId="2" xfId="7" applyNumberFormat="1" applyFont="1" applyFill="1" applyBorder="1" applyAlignment="1" applyProtection="1">
      <alignment horizontal="right"/>
    </xf>
    <xf numFmtId="3" fontId="10" fillId="0" borderId="36" xfId="0" applyNumberFormat="1" applyFont="1" applyBorder="1" applyAlignment="1" applyProtection="1">
      <alignment horizontal="right"/>
    </xf>
    <xf numFmtId="4" fontId="10" fillId="0" borderId="36" xfId="0" applyNumberFormat="1" applyFont="1" applyFill="1" applyBorder="1" applyAlignment="1" applyProtection="1">
      <alignment horizontal="right"/>
    </xf>
    <xf numFmtId="10" fontId="10" fillId="0" borderId="36" xfId="7" applyNumberFormat="1" applyFont="1" applyFill="1" applyBorder="1" applyAlignment="1" applyProtection="1">
      <alignment horizontal="right"/>
    </xf>
    <xf numFmtId="10" fontId="10" fillId="0" borderId="38" xfId="7" applyNumberFormat="1" applyFont="1" applyFill="1" applyBorder="1" applyAlignment="1" applyProtection="1">
      <alignment horizontal="right"/>
    </xf>
    <xf numFmtId="10" fontId="10" fillId="0" borderId="4" xfId="7" applyNumberFormat="1" applyFont="1" applyFill="1" applyBorder="1" applyAlignment="1" applyProtection="1">
      <alignment horizontal="right"/>
    </xf>
    <xf numFmtId="3" fontId="16" fillId="4" borderId="36" xfId="0" applyNumberFormat="1" applyFont="1" applyFill="1" applyBorder="1" applyAlignment="1" applyProtection="1">
      <alignment horizontal="right"/>
    </xf>
    <xf numFmtId="4" fontId="16" fillId="4" borderId="36" xfId="0" applyNumberFormat="1" applyFont="1" applyFill="1" applyBorder="1" applyAlignment="1" applyProtection="1">
      <alignment horizontal="right"/>
    </xf>
    <xf numFmtId="10" fontId="16" fillId="4" borderId="36" xfId="7" applyNumberFormat="1" applyFont="1" applyFill="1" applyBorder="1" applyAlignment="1" applyProtection="1">
      <alignment horizontal="right"/>
    </xf>
    <xf numFmtId="3" fontId="26" fillId="2" borderId="36" xfId="0" applyNumberFormat="1" applyFont="1" applyFill="1" applyBorder="1" applyAlignment="1" applyProtection="1">
      <alignment horizontal="right"/>
    </xf>
    <xf numFmtId="4" fontId="26" fillId="2" borderId="36" xfId="0" applyNumberFormat="1" applyFont="1" applyFill="1" applyBorder="1" applyAlignment="1" applyProtection="1">
      <alignment horizontal="right"/>
    </xf>
    <xf numFmtId="10" fontId="26" fillId="2" borderId="36" xfId="7" applyNumberFormat="1" applyFont="1" applyFill="1" applyBorder="1" applyAlignment="1" applyProtection="1">
      <alignment horizontal="right"/>
    </xf>
    <xf numFmtId="10" fontId="26" fillId="2" borderId="37" xfId="7" applyNumberFormat="1" applyFont="1" applyFill="1" applyBorder="1" applyAlignment="1" applyProtection="1">
      <alignment horizontal="right"/>
    </xf>
    <xf numFmtId="10" fontId="26" fillId="2" borderId="39" xfId="7" applyNumberFormat="1" applyFont="1" applyFill="1" applyBorder="1" applyAlignment="1" applyProtection="1">
      <alignment horizontal="right"/>
    </xf>
    <xf numFmtId="3" fontId="26" fillId="2" borderId="38" xfId="0" applyNumberFormat="1" applyFont="1" applyFill="1" applyBorder="1" applyAlignment="1" applyProtection="1">
      <alignment horizontal="right"/>
    </xf>
    <xf numFmtId="0" fontId="16" fillId="0" borderId="0" xfId="2" applyFont="1" applyBorder="1" applyAlignment="1" applyProtection="1">
      <alignment horizontal="left"/>
    </xf>
    <xf numFmtId="0" fontId="10" fillId="0" borderId="0" xfId="0" applyFont="1" applyFill="1" applyBorder="1" applyAlignment="1" applyProtection="1"/>
    <xf numFmtId="0" fontId="10" fillId="0" borderId="0" xfId="0" quotePrefix="1" applyFont="1" applyBorder="1" applyAlignment="1" applyProtection="1"/>
    <xf numFmtId="0" fontId="10" fillId="0" borderId="0" xfId="2" quotePrefix="1" applyFont="1" applyBorder="1" applyAlignment="1" applyProtection="1"/>
    <xf numFmtId="3" fontId="10" fillId="0" borderId="36" xfId="0" applyNumberFormat="1" applyFont="1" applyBorder="1" applyAlignment="1" applyProtection="1">
      <alignment horizontal="right"/>
      <protection locked="0"/>
    </xf>
    <xf numFmtId="3" fontId="25" fillId="2" borderId="5" xfId="0" quotePrefix="1" applyNumberFormat="1" applyFont="1" applyFill="1" applyBorder="1" applyAlignment="1" applyProtection="1">
      <alignment horizontal="right"/>
      <protection locked="0"/>
    </xf>
    <xf numFmtId="175" fontId="27" fillId="2" borderId="37" xfId="0" applyNumberFormat="1" applyFont="1" applyFill="1" applyBorder="1" applyAlignment="1" applyProtection="1">
      <alignment horizontal="center"/>
      <protection locked="0"/>
    </xf>
    <xf numFmtId="0" fontId="25" fillId="2" borderId="38" xfId="0" applyFont="1" applyFill="1" applyBorder="1" applyAlignment="1" applyProtection="1">
      <alignment horizontal="center"/>
      <protection locked="0"/>
    </xf>
    <xf numFmtId="0" fontId="10" fillId="0" borderId="0" xfId="0" applyFont="1" applyFill="1" applyAlignment="1" applyProtection="1">
      <alignment horizontal="center"/>
    </xf>
    <xf numFmtId="0" fontId="15" fillId="0" borderId="0" xfId="0" applyFont="1"/>
    <xf numFmtId="0" fontId="15" fillId="0" borderId="0" xfId="0" applyFont="1" applyFill="1" applyBorder="1" applyProtection="1">
      <protection locked="0"/>
    </xf>
    <xf numFmtId="174" fontId="5" fillId="0" borderId="0" xfId="1" applyNumberFormat="1" applyFont="1"/>
    <xf numFmtId="174" fontId="29" fillId="0" borderId="0" xfId="1" applyNumberFormat="1" applyFont="1" applyFill="1" applyAlignment="1">
      <alignment horizontal="center"/>
    </xf>
    <xf numFmtId="174" fontId="30" fillId="0" borderId="0" xfId="1" applyNumberFormat="1" applyFont="1" applyFill="1" applyBorder="1" applyAlignment="1">
      <alignment horizontal="center"/>
    </xf>
    <xf numFmtId="174" fontId="29" fillId="0" borderId="0" xfId="1" applyNumberFormat="1" applyFont="1" applyFill="1" applyBorder="1" applyAlignment="1">
      <alignment horizontal="center"/>
    </xf>
    <xf numFmtId="174" fontId="5" fillId="0" borderId="0" xfId="1" applyNumberFormat="1" applyFont="1" applyFill="1" applyBorder="1" applyAlignment="1">
      <alignment horizontal="center"/>
    </xf>
    <xf numFmtId="174" fontId="5" fillId="0" borderId="0" xfId="1" applyNumberFormat="1" applyFont="1" applyFill="1"/>
    <xf numFmtId="174" fontId="29" fillId="0" borderId="0" xfId="1" applyNumberFormat="1" applyFont="1" applyFill="1" applyBorder="1" applyAlignment="1">
      <alignment horizontal="left"/>
    </xf>
    <xf numFmtId="174" fontId="5" fillId="0" borderId="0" xfId="1" applyNumberFormat="1" applyFont="1" applyFill="1" applyBorder="1"/>
    <xf numFmtId="174" fontId="29" fillId="0" borderId="0" xfId="1" applyNumberFormat="1" applyFont="1" applyFill="1"/>
    <xf numFmtId="174" fontId="29" fillId="0" borderId="0" xfId="1" applyNumberFormat="1" applyFont="1" applyFill="1" applyBorder="1"/>
    <xf numFmtId="0" fontId="29" fillId="0" borderId="0" xfId="0" applyFont="1" applyBorder="1"/>
    <xf numFmtId="174" fontId="5" fillId="0" borderId="0" xfId="1" applyNumberFormat="1" applyFont="1" applyBorder="1"/>
    <xf numFmtId="0" fontId="5" fillId="0" borderId="0" xfId="0" applyFont="1" applyFill="1" applyBorder="1"/>
    <xf numFmtId="174" fontId="14" fillId="0" borderId="0" xfId="1" applyNumberFormat="1" applyFont="1" applyFill="1" applyBorder="1"/>
    <xf numFmtId="178" fontId="14" fillId="0" borderId="0" xfId="1" applyNumberFormat="1" applyFont="1" applyFill="1" applyBorder="1"/>
    <xf numFmtId="0" fontId="5" fillId="0" borderId="0" xfId="0" applyFont="1" applyAlignment="1">
      <alignment horizontal="center"/>
    </xf>
    <xf numFmtId="1" fontId="5" fillId="0" borderId="0" xfId="1" applyNumberFormat="1" applyFont="1" applyFill="1" applyAlignment="1">
      <alignment horizontal="center"/>
    </xf>
    <xf numFmtId="0" fontId="15" fillId="0" borderId="0" xfId="0" applyFont="1" applyFill="1" applyBorder="1" applyAlignment="1" applyProtection="1">
      <alignment horizontal="right"/>
      <protection locked="0"/>
    </xf>
    <xf numFmtId="179" fontId="6" fillId="0" borderId="0" xfId="0" applyNumberFormat="1" applyFont="1"/>
    <xf numFmtId="177" fontId="10" fillId="0" borderId="0" xfId="0" applyNumberFormat="1" applyFont="1" applyFill="1" applyAlignment="1" applyProtection="1"/>
    <xf numFmtId="0" fontId="10" fillId="0" borderId="0" xfId="0" applyFont="1" applyAlignment="1">
      <alignment vertical="top"/>
    </xf>
    <xf numFmtId="174" fontId="10" fillId="0" borderId="0" xfId="1" applyNumberFormat="1" applyFont="1" applyFill="1" applyAlignment="1">
      <alignment horizontal="left"/>
    </xf>
    <xf numFmtId="174" fontId="10" fillId="0" borderId="0" xfId="1" applyNumberFormat="1" applyFont="1"/>
    <xf numFmtId="174" fontId="9" fillId="0" borderId="0" xfId="1" applyNumberFormat="1" applyFont="1" applyFill="1" applyAlignment="1">
      <alignment horizontal="center"/>
    </xf>
    <xf numFmtId="0" fontId="31" fillId="0" borderId="0" xfId="0" applyFont="1" applyFill="1" applyBorder="1" applyAlignment="1">
      <alignment horizontal="center" vertical="top"/>
    </xf>
    <xf numFmtId="0" fontId="24" fillId="0" borderId="0" xfId="0" applyFont="1" applyAlignment="1">
      <alignment horizontal="center"/>
    </xf>
    <xf numFmtId="174" fontId="32" fillId="0" borderId="0" xfId="1" applyNumberFormat="1" applyFont="1" applyFill="1" applyAlignment="1">
      <alignment horizontal="center"/>
    </xf>
    <xf numFmtId="0" fontId="3" fillId="0" borderId="0" xfId="0" applyFont="1" applyAlignment="1"/>
    <xf numFmtId="174" fontId="10" fillId="0" borderId="0" xfId="1" applyNumberFormat="1" applyFont="1" applyFill="1" applyAlignment="1">
      <alignment horizontal="center" vertical="center" wrapText="1"/>
    </xf>
    <xf numFmtId="0" fontId="0" fillId="0" borderId="0" xfId="0" applyAlignment="1">
      <alignment horizontal="center" vertical="center" wrapText="1"/>
    </xf>
    <xf numFmtId="174" fontId="10" fillId="0" borderId="0" xfId="1" applyNumberFormat="1" applyFont="1" applyFill="1" applyAlignment="1">
      <alignment horizontal="left" vertical="center" wrapText="1"/>
    </xf>
    <xf numFmtId="0" fontId="5" fillId="0" borderId="0" xfId="0" applyFont="1" applyAlignment="1">
      <alignment horizontal="left" vertical="center" wrapText="1"/>
    </xf>
    <xf numFmtId="0" fontId="33" fillId="0" borderId="0" xfId="0" applyFont="1" applyFill="1" applyAlignment="1" applyProtection="1">
      <alignment horizontal="center"/>
    </xf>
    <xf numFmtId="0" fontId="33" fillId="0" borderId="0" xfId="0" applyFont="1" applyAlignment="1">
      <alignment horizontal="center"/>
    </xf>
    <xf numFmtId="0" fontId="10" fillId="0" borderId="0" xfId="0" applyFont="1" applyBorder="1" applyAlignment="1">
      <alignment vertical="top"/>
    </xf>
    <xf numFmtId="49" fontId="10" fillId="0" borderId="0" xfId="0" applyNumberFormat="1" applyFont="1" applyAlignment="1">
      <alignment vertical="top"/>
    </xf>
    <xf numFmtId="0" fontId="10" fillId="0" borderId="0" xfId="0" applyFont="1" applyFill="1"/>
    <xf numFmtId="0" fontId="24" fillId="0" borderId="0" xfId="0" applyFont="1" applyFill="1" applyBorder="1" applyAlignment="1">
      <alignment horizontal="left" vertical="top"/>
    </xf>
    <xf numFmtId="0" fontId="10" fillId="0" borderId="0" xfId="0" applyFont="1" applyFill="1" applyBorder="1" applyAlignment="1">
      <alignment horizontal="center" vertical="top" wrapText="1"/>
    </xf>
    <xf numFmtId="179" fontId="5" fillId="0" borderId="0" xfId="0" applyNumberFormat="1" applyFont="1" applyAlignment="1"/>
    <xf numFmtId="169" fontId="9" fillId="3" borderId="21" xfId="6" applyNumberFormat="1" applyFont="1" applyFill="1" applyBorder="1" applyAlignment="1">
      <alignment horizontal="center"/>
    </xf>
    <xf numFmtId="0" fontId="9" fillId="3" borderId="25" xfId="6" applyFont="1" applyFill="1" applyBorder="1" applyAlignment="1">
      <alignment horizontal="center"/>
    </xf>
    <xf numFmtId="174" fontId="9" fillId="3" borderId="42" xfId="6" applyNumberFormat="1" applyFont="1" applyFill="1" applyBorder="1" applyAlignment="1">
      <alignment horizontal="center"/>
    </xf>
    <xf numFmtId="0" fontId="9" fillId="3" borderId="43" xfId="6" applyFont="1" applyFill="1" applyBorder="1" applyAlignment="1">
      <alignment horizontal="center"/>
    </xf>
    <xf numFmtId="3" fontId="9" fillId="3" borderId="43" xfId="6" applyNumberFormat="1" applyFont="1" applyFill="1" applyBorder="1" applyAlignment="1">
      <alignment horizontal="center"/>
    </xf>
    <xf numFmtId="2" fontId="9" fillId="3" borderId="53" xfId="6" applyNumberFormat="1" applyFont="1" applyFill="1" applyBorder="1" applyAlignment="1">
      <alignment horizontal="center"/>
    </xf>
    <xf numFmtId="0" fontId="10" fillId="0" borderId="0" xfId="6" applyFont="1" applyBorder="1" applyAlignment="1">
      <alignment horizontal="center"/>
    </xf>
    <xf numFmtId="169" fontId="9" fillId="3" borderId="44" xfId="6" applyNumberFormat="1" applyFont="1" applyFill="1" applyBorder="1" applyAlignment="1">
      <alignment horizontal="center"/>
    </xf>
    <xf numFmtId="0" fontId="9" fillId="3" borderId="45" xfId="6" applyFont="1" applyFill="1" applyBorder="1" applyAlignment="1">
      <alignment horizontal="center"/>
    </xf>
    <xf numFmtId="174" fontId="9" fillId="3" borderId="44" xfId="6" applyNumberFormat="1" applyFont="1" applyFill="1" applyBorder="1" applyAlignment="1">
      <alignment horizontal="center"/>
    </xf>
    <xf numFmtId="0" fontId="9" fillId="3" borderId="9" xfId="6" applyFont="1" applyFill="1" applyBorder="1" applyAlignment="1">
      <alignment horizontal="center"/>
    </xf>
    <xf numFmtId="3" fontId="9" fillId="3" borderId="9" xfId="6" applyNumberFormat="1" applyFont="1" applyFill="1" applyBorder="1" applyAlignment="1">
      <alignment horizontal="center"/>
    </xf>
    <xf numFmtId="2" fontId="9" fillId="3" borderId="45" xfId="6" applyNumberFormat="1" applyFont="1" applyFill="1" applyBorder="1" applyAlignment="1">
      <alignment horizontal="center"/>
    </xf>
    <xf numFmtId="169" fontId="10" fillId="0" borderId="26" xfId="6" applyNumberFormat="1" applyFont="1" applyFill="1" applyBorder="1"/>
    <xf numFmtId="0" fontId="10" fillId="0" borderId="27" xfId="6" applyFont="1" applyFill="1" applyBorder="1"/>
    <xf numFmtId="174" fontId="10" fillId="0" borderId="26" xfId="6" applyNumberFormat="1" applyFont="1" applyFill="1" applyBorder="1"/>
    <xf numFmtId="0" fontId="10" fillId="0" borderId="8" xfId="6" applyFont="1" applyFill="1" applyBorder="1" applyAlignment="1">
      <alignment horizontal="center"/>
    </xf>
    <xf numFmtId="3" fontId="10" fillId="0" borderId="8" xfId="6" applyNumberFormat="1" applyFont="1" applyFill="1" applyBorder="1"/>
    <xf numFmtId="2" fontId="10" fillId="0" borderId="27" xfId="6" applyNumberFormat="1" applyFont="1" applyFill="1" applyBorder="1"/>
    <xf numFmtId="1" fontId="9" fillId="0" borderId="26" xfId="6" applyNumberFormat="1" applyFont="1" applyFill="1" applyBorder="1" applyAlignment="1">
      <alignment horizontal="right"/>
    </xf>
    <xf numFmtId="0" fontId="9" fillId="0" borderId="27" xfId="6" applyFont="1" applyFill="1" applyBorder="1"/>
    <xf numFmtId="174" fontId="10" fillId="0" borderId="26" xfId="9" applyNumberFormat="1" applyFont="1" applyFill="1" applyBorder="1"/>
    <xf numFmtId="168" fontId="10" fillId="0" borderId="8" xfId="9" applyFont="1" applyFill="1" applyBorder="1" applyAlignment="1">
      <alignment horizontal="center"/>
    </xf>
    <xf numFmtId="174" fontId="10" fillId="0" borderId="8" xfId="9" applyNumberFormat="1" applyFont="1" applyFill="1" applyBorder="1"/>
    <xf numFmtId="168" fontId="10" fillId="0" borderId="27" xfId="9" applyFont="1" applyFill="1" applyBorder="1"/>
    <xf numFmtId="1" fontId="9" fillId="0" borderId="26" xfId="6" quotePrefix="1" applyNumberFormat="1" applyFont="1" applyBorder="1" applyAlignment="1">
      <alignment horizontal="right"/>
    </xf>
    <xf numFmtId="0" fontId="9" fillId="0" borderId="27" xfId="6" applyFont="1" applyBorder="1"/>
    <xf numFmtId="174" fontId="10" fillId="0" borderId="26" xfId="9" applyNumberFormat="1" applyFont="1" applyBorder="1"/>
    <xf numFmtId="168" fontId="10" fillId="0" borderId="8" xfId="9" applyFont="1" applyBorder="1" applyAlignment="1">
      <alignment horizontal="center"/>
    </xf>
    <xf numFmtId="174" fontId="10" fillId="0" borderId="8" xfId="9" applyNumberFormat="1" applyFont="1" applyBorder="1"/>
    <xf numFmtId="168" fontId="10" fillId="0" borderId="27" xfId="9" applyFont="1" applyBorder="1"/>
    <xf numFmtId="169" fontId="10" fillId="0" borderId="26" xfId="6" quotePrefix="1" applyNumberFormat="1" applyFont="1" applyFill="1" applyBorder="1" applyAlignment="1">
      <alignment horizontal="right" vertical="top"/>
    </xf>
    <xf numFmtId="174" fontId="10" fillId="0" borderId="26" xfId="9" applyNumberFormat="1" applyFont="1" applyFill="1" applyBorder="1" applyAlignment="1">
      <alignment vertical="top"/>
    </xf>
    <xf numFmtId="49" fontId="10" fillId="0" borderId="8" xfId="9" applyNumberFormat="1" applyFont="1" applyFill="1" applyBorder="1" applyAlignment="1">
      <alignment horizontal="center" vertical="top"/>
    </xf>
    <xf numFmtId="174" fontId="10" fillId="0" borderId="8" xfId="9" applyNumberFormat="1" applyFont="1" applyFill="1" applyBorder="1" applyAlignment="1">
      <alignment vertical="top"/>
    </xf>
    <xf numFmtId="168" fontId="10" fillId="0" borderId="27" xfId="9" applyFont="1" applyFill="1" applyBorder="1" applyAlignment="1">
      <alignment vertical="top"/>
    </xf>
    <xf numFmtId="169" fontId="10" fillId="0" borderId="26" xfId="6" quotePrefix="1" applyNumberFormat="1" applyFont="1" applyBorder="1" applyAlignment="1">
      <alignment horizontal="right"/>
    </xf>
    <xf numFmtId="0" fontId="36" fillId="0" borderId="27" xfId="6" applyFont="1" applyBorder="1"/>
    <xf numFmtId="0" fontId="10" fillId="0" borderId="0" xfId="6" applyFont="1" applyBorder="1" applyAlignment="1">
      <alignment horizontal="left"/>
    </xf>
    <xf numFmtId="169" fontId="10" fillId="0" borderId="26" xfId="6" applyNumberFormat="1" applyFont="1" applyBorder="1" applyAlignment="1">
      <alignment horizontal="right"/>
    </xf>
    <xf numFmtId="0" fontId="10" fillId="0" borderId="27" xfId="6" applyFont="1" applyBorder="1"/>
    <xf numFmtId="0" fontId="10" fillId="0" borderId="27" xfId="6" applyFont="1" applyFill="1" applyBorder="1" applyAlignment="1">
      <alignment vertical="top" wrapText="1"/>
    </xf>
    <xf numFmtId="169" fontId="9" fillId="0" borderId="26" xfId="6" quotePrefix="1" applyNumberFormat="1" applyFont="1" applyBorder="1" applyAlignment="1">
      <alignment horizontal="right"/>
    </xf>
    <xf numFmtId="0" fontId="10" fillId="0" borderId="45" xfId="8" applyFont="1" applyBorder="1"/>
    <xf numFmtId="168" fontId="10" fillId="0" borderId="0" xfId="9" applyFont="1" applyBorder="1" applyAlignment="1">
      <alignment horizontal="center"/>
    </xf>
    <xf numFmtId="169" fontId="9" fillId="3" borderId="49" xfId="6" quotePrefix="1" applyNumberFormat="1" applyFont="1" applyFill="1" applyBorder="1" applyAlignment="1">
      <alignment horizontal="right"/>
    </xf>
    <xf numFmtId="0" fontId="9" fillId="3" borderId="47" xfId="6" applyFont="1" applyFill="1" applyBorder="1"/>
    <xf numFmtId="174" fontId="9" fillId="3" borderId="46" xfId="9" applyNumberFormat="1" applyFont="1" applyFill="1" applyBorder="1"/>
    <xf numFmtId="168" fontId="9" fillId="3" borderId="48" xfId="9" applyFont="1" applyFill="1" applyBorder="1" applyAlignment="1">
      <alignment horizontal="center"/>
    </xf>
    <xf numFmtId="174" fontId="9" fillId="3" borderId="48" xfId="9" applyNumberFormat="1" applyFont="1" applyFill="1" applyBorder="1"/>
    <xf numFmtId="168" fontId="9" fillId="3" borderId="55" xfId="9" applyFont="1" applyFill="1" applyBorder="1"/>
    <xf numFmtId="2" fontId="10" fillId="0" borderId="26" xfId="6" quotePrefix="1" applyNumberFormat="1" applyFont="1" applyFill="1" applyBorder="1" applyAlignment="1">
      <alignment horizontal="right" vertical="top"/>
    </xf>
    <xf numFmtId="168" fontId="10" fillId="0" borderId="27" xfId="9" applyFont="1" applyBorder="1" applyAlignment="1">
      <alignment vertical="top"/>
    </xf>
    <xf numFmtId="1" fontId="10" fillId="0" borderId="26" xfId="6" quotePrefix="1" applyNumberFormat="1" applyFont="1" applyBorder="1" applyAlignment="1">
      <alignment horizontal="right"/>
    </xf>
    <xf numFmtId="0" fontId="10" fillId="0" borderId="40" xfId="8" applyFont="1" applyBorder="1"/>
    <xf numFmtId="169" fontId="36" fillId="0" borderId="26" xfId="6" quotePrefix="1" applyNumberFormat="1" applyFont="1" applyBorder="1" applyAlignment="1">
      <alignment horizontal="right"/>
    </xf>
    <xf numFmtId="169" fontId="10" fillId="0" borderId="26" xfId="6" applyNumberFormat="1" applyFont="1" applyFill="1" applyBorder="1" applyAlignment="1">
      <alignment horizontal="right" vertical="top"/>
    </xf>
    <xf numFmtId="168" fontId="10" fillId="0" borderId="0" xfId="9" applyFont="1" applyFill="1" applyBorder="1" applyAlignment="1">
      <alignment horizontal="center"/>
    </xf>
    <xf numFmtId="0" fontId="10" fillId="0" borderId="0" xfId="6" applyFont="1" applyFill="1" applyBorder="1" applyAlignment="1">
      <alignment horizontal="center"/>
    </xf>
    <xf numFmtId="0" fontId="10" fillId="0" borderId="40" xfId="6" applyFont="1" applyFill="1" applyBorder="1"/>
    <xf numFmtId="3" fontId="10" fillId="0" borderId="0" xfId="6" applyNumberFormat="1" applyFont="1" applyFill="1" applyBorder="1" applyAlignment="1">
      <alignment horizontal="center"/>
    </xf>
    <xf numFmtId="0" fontId="10" fillId="0" borderId="0" xfId="6" applyFont="1" applyFill="1" applyBorder="1" applyAlignment="1">
      <alignment horizontal="left"/>
    </xf>
    <xf numFmtId="1" fontId="10" fillId="0" borderId="26" xfId="6" quotePrefix="1" applyNumberFormat="1" applyFont="1" applyFill="1" applyBorder="1" applyAlignment="1">
      <alignment horizontal="right"/>
    </xf>
    <xf numFmtId="0" fontId="10" fillId="0" borderId="40" xfId="6" applyFont="1" applyFill="1" applyBorder="1" applyAlignment="1">
      <alignment horizontal="left" vertical="top" wrapText="1"/>
    </xf>
    <xf numFmtId="174" fontId="9" fillId="3" borderId="49" xfId="9" applyNumberFormat="1" applyFont="1" applyFill="1" applyBorder="1"/>
    <xf numFmtId="168" fontId="9" fillId="3" borderId="36" xfId="9" applyFont="1" applyFill="1" applyBorder="1" applyAlignment="1">
      <alignment horizontal="center"/>
    </xf>
    <xf numFmtId="174" fontId="9" fillId="3" borderId="36" xfId="9" applyNumberFormat="1" applyFont="1" applyFill="1" applyBorder="1"/>
    <xf numFmtId="168" fontId="9" fillId="3" borderId="47" xfId="9" applyFont="1" applyFill="1" applyBorder="1"/>
    <xf numFmtId="2" fontId="9" fillId="0" borderId="26" xfId="6" applyNumberFormat="1" applyFont="1" applyFill="1" applyBorder="1" applyAlignment="1">
      <alignment horizontal="right"/>
    </xf>
    <xf numFmtId="174" fontId="9" fillId="0" borderId="26" xfId="9" applyNumberFormat="1" applyFont="1" applyFill="1" applyBorder="1"/>
    <xf numFmtId="168" fontId="9" fillId="0" borderId="8" xfId="9" applyFont="1" applyFill="1" applyBorder="1" applyAlignment="1">
      <alignment horizontal="center"/>
    </xf>
    <xf numFmtId="174" fontId="9" fillId="0" borderId="8" xfId="9" applyNumberFormat="1" applyFont="1" applyFill="1" applyBorder="1"/>
    <xf numFmtId="168" fontId="9" fillId="0" borderId="27" xfId="9" applyFont="1" applyFill="1" applyBorder="1"/>
    <xf numFmtId="1" fontId="9" fillId="0" borderId="26" xfId="6" applyNumberFormat="1" applyFont="1" applyBorder="1" applyAlignment="1">
      <alignment horizontal="right"/>
    </xf>
    <xf numFmtId="174" fontId="9" fillId="0" borderId="26" xfId="9" applyNumberFormat="1" applyFont="1" applyBorder="1"/>
    <xf numFmtId="168" fontId="9" fillId="0" borderId="8" xfId="9" applyFont="1" applyBorder="1" applyAlignment="1">
      <alignment horizontal="center"/>
    </xf>
    <xf numFmtId="174" fontId="9" fillId="0" borderId="8" xfId="9" applyNumberFormat="1" applyFont="1" applyBorder="1"/>
    <xf numFmtId="10" fontId="10" fillId="0" borderId="0" xfId="6" applyNumberFormat="1" applyFont="1" applyBorder="1" applyAlignment="1">
      <alignment horizontal="center"/>
    </xf>
    <xf numFmtId="174" fontId="10" fillId="0" borderId="26" xfId="9" applyNumberFormat="1" applyFont="1" applyBorder="1" applyAlignment="1">
      <alignment vertical="top"/>
    </xf>
    <xf numFmtId="0" fontId="36" fillId="0" borderId="40" xfId="6" applyFont="1" applyFill="1" applyBorder="1"/>
    <xf numFmtId="2" fontId="10" fillId="0" borderId="26" xfId="6" applyNumberFormat="1" applyFont="1" applyFill="1" applyBorder="1" applyAlignment="1">
      <alignment horizontal="right"/>
    </xf>
    <xf numFmtId="2" fontId="10" fillId="0" borderId="26" xfId="6" applyNumberFormat="1" applyFont="1" applyFill="1" applyBorder="1" applyAlignment="1">
      <alignment horizontal="right" vertical="top"/>
    </xf>
    <xf numFmtId="169" fontId="9" fillId="0" borderId="26" xfId="6" applyNumberFormat="1" applyFont="1" applyFill="1" applyBorder="1" applyAlignment="1">
      <alignment horizontal="right"/>
    </xf>
    <xf numFmtId="0" fontId="10" fillId="0" borderId="27" xfId="6" applyFont="1" applyBorder="1" applyAlignment="1">
      <alignment vertical="top" wrapText="1"/>
    </xf>
    <xf numFmtId="170" fontId="10" fillId="0" borderId="26" xfId="9" applyNumberFormat="1" applyFont="1" applyFill="1" applyBorder="1"/>
    <xf numFmtId="0" fontId="22" fillId="0" borderId="27" xfId="6" applyFont="1" applyFill="1" applyBorder="1"/>
    <xf numFmtId="0" fontId="9" fillId="0" borderId="40" xfId="6" applyFont="1" applyBorder="1"/>
    <xf numFmtId="0" fontId="10" fillId="0" borderId="40" xfId="6" applyFont="1" applyBorder="1"/>
    <xf numFmtId="174" fontId="10" fillId="0" borderId="8" xfId="9" applyNumberFormat="1" applyFont="1" applyBorder="1" applyAlignment="1">
      <alignment horizontal="right"/>
    </xf>
    <xf numFmtId="169" fontId="9" fillId="0" borderId="50" xfId="6" quotePrefix="1" applyNumberFormat="1" applyFont="1" applyFill="1" applyBorder="1" applyAlignment="1">
      <alignment horizontal="right"/>
    </xf>
    <xf numFmtId="0" fontId="9" fillId="0" borderId="40" xfId="6" applyFont="1" applyFill="1" applyBorder="1"/>
    <xf numFmtId="174" fontId="9" fillId="0" borderId="50" xfId="9" applyNumberFormat="1" applyFont="1" applyFill="1" applyBorder="1"/>
    <xf numFmtId="168" fontId="9" fillId="0" borderId="7" xfId="9" applyFont="1" applyFill="1" applyBorder="1" applyAlignment="1">
      <alignment horizontal="center"/>
    </xf>
    <xf numFmtId="174" fontId="9" fillId="0" borderId="7" xfId="9" applyNumberFormat="1" applyFont="1" applyFill="1" applyBorder="1"/>
    <xf numFmtId="168" fontId="9" fillId="0" borderId="54" xfId="9" applyFont="1" applyFill="1" applyBorder="1"/>
    <xf numFmtId="0" fontId="10" fillId="0" borderId="27" xfId="6" applyFont="1" applyFill="1" applyBorder="1" applyAlignment="1">
      <alignment horizontal="left" vertical="top" wrapText="1"/>
    </xf>
    <xf numFmtId="2" fontId="36" fillId="0" borderId="26" xfId="6" quotePrefix="1" applyNumberFormat="1" applyFont="1" applyFill="1" applyBorder="1" applyAlignment="1">
      <alignment horizontal="right" vertical="top"/>
    </xf>
    <xf numFmtId="0" fontId="10" fillId="0" borderId="40" xfId="6" applyFont="1" applyBorder="1" applyAlignment="1">
      <alignment vertical="top" wrapText="1"/>
    </xf>
    <xf numFmtId="169" fontId="9" fillId="3" borderId="46" xfId="6" quotePrefix="1" applyNumberFormat="1" applyFont="1" applyFill="1" applyBorder="1" applyAlignment="1">
      <alignment horizontal="right"/>
    </xf>
    <xf numFmtId="0" fontId="9" fillId="3" borderId="55" xfId="6" applyFont="1" applyFill="1" applyBorder="1"/>
    <xf numFmtId="2" fontId="9" fillId="0" borderId="0" xfId="6" quotePrefix="1" applyNumberFormat="1" applyFont="1" applyFill="1" applyBorder="1" applyAlignment="1">
      <alignment horizontal="right"/>
    </xf>
    <xf numFmtId="0" fontId="9" fillId="0" borderId="0" xfId="6" applyFont="1" applyFill="1" applyBorder="1"/>
    <xf numFmtId="174" fontId="9" fillId="0" borderId="0" xfId="9" applyNumberFormat="1" applyFont="1" applyFill="1" applyBorder="1"/>
    <xf numFmtId="168" fontId="9" fillId="0" borderId="0" xfId="9" applyFont="1" applyFill="1" applyBorder="1" applyAlignment="1">
      <alignment horizontal="center"/>
    </xf>
    <xf numFmtId="168" fontId="9" fillId="0" borderId="0" xfId="9" applyFont="1" applyFill="1" applyBorder="1"/>
    <xf numFmtId="168" fontId="9" fillId="0" borderId="4" xfId="9" applyFont="1" applyBorder="1" applyAlignment="1">
      <alignment horizontal="center"/>
    </xf>
    <xf numFmtId="169" fontId="9" fillId="3" borderId="51" xfId="6" quotePrefix="1" applyNumberFormat="1" applyFont="1" applyFill="1" applyBorder="1" applyAlignment="1">
      <alignment horizontal="right"/>
    </xf>
    <xf numFmtId="0" fontId="9" fillId="3" borderId="35" xfId="6" applyFont="1" applyFill="1" applyBorder="1"/>
    <xf numFmtId="174" fontId="10" fillId="3" borderId="51" xfId="9" applyNumberFormat="1" applyFont="1" applyFill="1" applyBorder="1"/>
    <xf numFmtId="0" fontId="9" fillId="3" borderId="34" xfId="9" applyNumberFormat="1" applyFont="1" applyFill="1" applyBorder="1" applyAlignment="1">
      <alignment horizontal="center"/>
    </xf>
    <xf numFmtId="3" fontId="9" fillId="3" borderId="34" xfId="9" applyNumberFormat="1" applyFont="1" applyFill="1" applyBorder="1"/>
    <xf numFmtId="168" fontId="9" fillId="3" borderId="52" xfId="9" applyFont="1" applyFill="1" applyBorder="1"/>
    <xf numFmtId="169" fontId="10" fillId="0" borderId="26" xfId="6" applyNumberFormat="1" applyFont="1" applyFill="1" applyBorder="1" applyAlignment="1">
      <alignment horizontal="right"/>
    </xf>
    <xf numFmtId="0" fontId="10" fillId="0" borderId="27" xfId="8" applyFont="1" applyBorder="1"/>
    <xf numFmtId="174" fontId="10" fillId="3" borderId="48" xfId="9" applyNumberFormat="1" applyFont="1" applyFill="1" applyBorder="1"/>
    <xf numFmtId="169" fontId="9" fillId="0" borderId="0" xfId="6" quotePrefix="1" applyNumberFormat="1" applyFont="1" applyFill="1" applyBorder="1" applyAlignment="1">
      <alignment horizontal="right"/>
    </xf>
    <xf numFmtId="0" fontId="9" fillId="0" borderId="0" xfId="6" applyFont="1" applyBorder="1"/>
    <xf numFmtId="0" fontId="15" fillId="0" borderId="0" xfId="0" applyNumberFormat="1" applyFont="1" applyFill="1" applyBorder="1" applyAlignment="1" applyProtection="1">
      <alignment horizontal="left"/>
      <protection locked="0"/>
    </xf>
    <xf numFmtId="0" fontId="15" fillId="5" borderId="0" xfId="0" applyFont="1" applyFill="1" applyProtection="1"/>
    <xf numFmtId="0" fontId="15" fillId="5" borderId="0" xfId="0" applyFont="1" applyFill="1"/>
    <xf numFmtId="0" fontId="15" fillId="5" borderId="0" xfId="0" applyFont="1" applyFill="1" applyAlignment="1" applyProtection="1">
      <alignment horizontal="center"/>
    </xf>
    <xf numFmtId="0" fontId="37" fillId="0" borderId="0" xfId="0" applyFont="1" applyFill="1" applyAlignment="1" applyProtection="1"/>
    <xf numFmtId="0" fontId="10" fillId="0" borderId="0" xfId="0" applyFont="1" applyAlignment="1">
      <alignment wrapText="1"/>
    </xf>
    <xf numFmtId="168" fontId="10" fillId="0" borderId="8" xfId="9" applyFont="1" applyFill="1" applyBorder="1" applyAlignment="1">
      <alignment horizontal="center" vertical="top"/>
    </xf>
    <xf numFmtId="0" fontId="10" fillId="0" borderId="0" xfId="6" applyFont="1" applyFill="1" applyBorder="1" applyAlignment="1">
      <alignment horizontal="center" vertical="top"/>
    </xf>
    <xf numFmtId="1" fontId="10" fillId="0" borderId="26" xfId="6" applyNumberFormat="1" applyFont="1" applyFill="1" applyBorder="1" applyAlignment="1">
      <alignment horizontal="right" vertical="top"/>
    </xf>
    <xf numFmtId="168" fontId="10" fillId="0" borderId="0" xfId="9" applyFont="1" applyFill="1" applyBorder="1" applyAlignment="1">
      <alignment horizontal="center" vertical="top"/>
    </xf>
    <xf numFmtId="0" fontId="10" fillId="0" borderId="0" xfId="0" applyFont="1" applyFill="1" applyAlignment="1" applyProtection="1">
      <alignment vertical="top"/>
    </xf>
    <xf numFmtId="0" fontId="10" fillId="0" borderId="40" xfId="6" applyFont="1" applyFill="1" applyBorder="1" applyAlignment="1">
      <alignment vertical="top" wrapText="1"/>
    </xf>
    <xf numFmtId="0" fontId="10" fillId="0" borderId="0" xfId="0" applyFont="1" applyFill="1" applyAlignment="1">
      <alignment vertical="top"/>
    </xf>
    <xf numFmtId="0" fontId="10" fillId="0" borderId="0" xfId="6" applyFont="1" applyBorder="1" applyAlignment="1">
      <alignment horizontal="center" vertical="top"/>
    </xf>
    <xf numFmtId="169" fontId="10" fillId="0" borderId="26" xfId="6" applyNumberFormat="1" applyFont="1" applyBorder="1" applyAlignment="1">
      <alignment horizontal="right" vertical="top"/>
    </xf>
    <xf numFmtId="0" fontId="10" fillId="0" borderId="40" xfId="6" applyFont="1" applyFill="1" applyBorder="1" applyAlignment="1">
      <alignment vertical="top"/>
    </xf>
    <xf numFmtId="0" fontId="10" fillId="0" borderId="0" xfId="6" applyFont="1" applyBorder="1" applyAlignment="1">
      <alignment horizontal="left" vertical="top"/>
    </xf>
    <xf numFmtId="0" fontId="10" fillId="0" borderId="0" xfId="0" applyFont="1" applyAlignment="1">
      <alignment wrapText="1"/>
    </xf>
    <xf numFmtId="179" fontId="5" fillId="0" borderId="0" xfId="0" applyNumberFormat="1" applyFont="1" applyAlignment="1">
      <alignment horizontal="right"/>
    </xf>
    <xf numFmtId="170" fontId="10" fillId="0" borderId="26" xfId="9" applyNumberFormat="1" applyFont="1" applyFill="1" applyBorder="1" applyAlignment="1">
      <alignment vertical="top"/>
    </xf>
    <xf numFmtId="0" fontId="5" fillId="0" borderId="0" xfId="0" applyFont="1" applyAlignment="1"/>
    <xf numFmtId="0" fontId="10" fillId="0" borderId="27" xfId="6" applyFont="1" applyFill="1" applyBorder="1" applyAlignment="1">
      <alignment horizontal="left" vertical="top" wrapText="1"/>
    </xf>
    <xf numFmtId="0" fontId="10" fillId="0" borderId="0" xfId="0" applyFont="1" applyAlignment="1">
      <alignment horizontal="center" vertical="top"/>
    </xf>
    <xf numFmtId="0" fontId="15" fillId="0" borderId="0" xfId="0" applyFont="1" applyFill="1" applyBorder="1" applyAlignment="1" applyProtection="1">
      <alignment vertical="top"/>
      <protection locked="0"/>
    </xf>
    <xf numFmtId="0" fontId="15" fillId="0" borderId="0" xfId="0" applyFont="1" applyFill="1" applyBorder="1" applyAlignment="1" applyProtection="1">
      <alignment horizontal="right" vertical="top"/>
      <protection locked="0"/>
    </xf>
    <xf numFmtId="0" fontId="15" fillId="0" borderId="0" xfId="0" applyFont="1" applyAlignment="1">
      <alignment vertical="top"/>
    </xf>
    <xf numFmtId="0" fontId="15" fillId="0" borderId="0" xfId="0" applyFont="1" applyFill="1" applyAlignment="1" applyProtection="1">
      <alignment vertical="top"/>
    </xf>
    <xf numFmtId="0" fontId="15" fillId="0" borderId="0" xfId="0" applyFont="1" applyFill="1" applyAlignment="1" applyProtection="1">
      <alignment horizontal="center" vertical="top"/>
    </xf>
    <xf numFmtId="0" fontId="9" fillId="0" borderId="0" xfId="0" applyFont="1" applyAlignment="1" applyProtection="1">
      <alignment vertical="top"/>
    </xf>
    <xf numFmtId="0" fontId="33" fillId="0" borderId="0" xfId="0" applyFont="1" applyFill="1" applyAlignment="1" applyProtection="1">
      <alignment horizontal="center" vertical="top"/>
    </xf>
    <xf numFmtId="0" fontId="33" fillId="0" borderId="0" xfId="0" applyFont="1" applyAlignment="1">
      <alignment horizontal="center" vertical="top"/>
    </xf>
    <xf numFmtId="0" fontId="15" fillId="0" borderId="0" xfId="0" quotePrefix="1" applyNumberFormat="1" applyFont="1" applyFill="1" applyBorder="1" applyAlignment="1" applyProtection="1">
      <alignment horizontal="left" vertical="top"/>
      <protection locked="0"/>
    </xf>
    <xf numFmtId="0" fontId="10" fillId="0" borderId="0" xfId="0" applyFont="1" applyFill="1" applyAlignment="1" applyProtection="1">
      <alignment horizontal="center" vertical="top"/>
    </xf>
    <xf numFmtId="177" fontId="10" fillId="0" borderId="0" xfId="0" applyNumberFormat="1" applyFont="1" applyFill="1" applyAlignment="1" applyProtection="1">
      <alignment vertical="top"/>
    </xf>
    <xf numFmtId="169" fontId="9" fillId="3" borderId="21" xfId="6" applyNumberFormat="1" applyFont="1" applyFill="1" applyBorder="1" applyAlignment="1">
      <alignment horizontal="center" vertical="top"/>
    </xf>
    <xf numFmtId="0" fontId="9" fillId="3" borderId="25" xfId="6" applyFont="1" applyFill="1" applyBorder="1" applyAlignment="1">
      <alignment horizontal="center" vertical="top"/>
    </xf>
    <xf numFmtId="0" fontId="9" fillId="3" borderId="43" xfId="6" applyFont="1" applyFill="1" applyBorder="1" applyAlignment="1">
      <alignment horizontal="center" vertical="top"/>
    </xf>
    <xf numFmtId="3" fontId="9" fillId="3" borderId="43" xfId="6" applyNumberFormat="1" applyFont="1" applyFill="1" applyBorder="1" applyAlignment="1">
      <alignment horizontal="center" vertical="top"/>
    </xf>
    <xf numFmtId="2" fontId="9" fillId="3" borderId="53" xfId="6" applyNumberFormat="1" applyFont="1" applyFill="1" applyBorder="1" applyAlignment="1">
      <alignment horizontal="center" vertical="top"/>
    </xf>
    <xf numFmtId="169" fontId="9" fillId="3" borderId="44" xfId="6" applyNumberFormat="1" applyFont="1" applyFill="1" applyBorder="1" applyAlignment="1">
      <alignment horizontal="center" vertical="top"/>
    </xf>
    <xf numFmtId="0" fontId="9" fillId="3" borderId="45" xfId="6" applyFont="1" applyFill="1" applyBorder="1" applyAlignment="1">
      <alignment horizontal="center" vertical="top"/>
    </xf>
    <xf numFmtId="174" fontId="9" fillId="3" borderId="44" xfId="6" applyNumberFormat="1" applyFont="1" applyFill="1" applyBorder="1" applyAlignment="1">
      <alignment horizontal="center" vertical="top"/>
    </xf>
    <xf numFmtId="0" fontId="9" fillId="3" borderId="9" xfId="6" applyFont="1" applyFill="1" applyBorder="1" applyAlignment="1">
      <alignment horizontal="center" vertical="top"/>
    </xf>
    <xf numFmtId="3" fontId="9" fillId="3" borderId="9" xfId="6" applyNumberFormat="1" applyFont="1" applyFill="1" applyBorder="1" applyAlignment="1">
      <alignment horizontal="center" vertical="top"/>
    </xf>
    <xf numFmtId="2" fontId="9" fillId="3" borderId="45" xfId="6" applyNumberFormat="1" applyFont="1" applyFill="1" applyBorder="1" applyAlignment="1">
      <alignment horizontal="center" vertical="top"/>
    </xf>
    <xf numFmtId="169" fontId="10" fillId="0" borderId="26" xfId="6" applyNumberFormat="1" applyFont="1" applyFill="1" applyBorder="1" applyAlignment="1">
      <alignment vertical="top"/>
    </xf>
    <xf numFmtId="0" fontId="10" fillId="0" borderId="27" xfId="6" applyFont="1" applyFill="1" applyBorder="1" applyAlignment="1">
      <alignment vertical="top"/>
    </xf>
    <xf numFmtId="174" fontId="10" fillId="0" borderId="26" xfId="6" applyNumberFormat="1" applyFont="1" applyFill="1" applyBorder="1" applyAlignment="1">
      <alignment vertical="top"/>
    </xf>
    <xf numFmtId="0" fontId="10" fillId="0" borderId="8" xfId="6" applyFont="1" applyFill="1" applyBorder="1" applyAlignment="1">
      <alignment horizontal="center" vertical="top"/>
    </xf>
    <xf numFmtId="3" fontId="10" fillId="0" borderId="8" xfId="6" applyNumberFormat="1" applyFont="1" applyFill="1" applyBorder="1" applyAlignment="1">
      <alignment vertical="top"/>
    </xf>
    <xf numFmtId="2" fontId="10" fillId="0" borderId="27" xfId="6" applyNumberFormat="1" applyFont="1" applyFill="1" applyBorder="1" applyAlignment="1">
      <alignment vertical="top"/>
    </xf>
    <xf numFmtId="1" fontId="9" fillId="0" borderId="26" xfId="6" applyNumberFormat="1" applyFont="1" applyFill="1" applyBorder="1" applyAlignment="1">
      <alignment horizontal="right" vertical="top"/>
    </xf>
    <xf numFmtId="0" fontId="9" fillId="0" borderId="27" xfId="6" applyFont="1" applyFill="1" applyBorder="1" applyAlignment="1">
      <alignment vertical="top"/>
    </xf>
    <xf numFmtId="3" fontId="10" fillId="0" borderId="0" xfId="6" applyNumberFormat="1" applyFont="1" applyFill="1" applyBorder="1" applyAlignment="1">
      <alignment horizontal="center" vertical="top"/>
    </xf>
    <xf numFmtId="174" fontId="10" fillId="0" borderId="8" xfId="9" applyNumberFormat="1" applyFont="1" applyBorder="1" applyAlignment="1">
      <alignment vertical="top"/>
    </xf>
    <xf numFmtId="0" fontId="10" fillId="0" borderId="27" xfId="6" quotePrefix="1" applyFont="1" applyFill="1" applyBorder="1" applyAlignment="1">
      <alignment vertical="top"/>
    </xf>
    <xf numFmtId="1" fontId="10" fillId="0" borderId="26" xfId="6" quotePrefix="1" applyNumberFormat="1" applyFont="1" applyFill="1" applyBorder="1" applyAlignment="1">
      <alignment horizontal="right" vertical="top"/>
    </xf>
    <xf numFmtId="169" fontId="9" fillId="3" borderId="49" xfId="6" quotePrefix="1" applyNumberFormat="1" applyFont="1" applyFill="1" applyBorder="1" applyAlignment="1">
      <alignment horizontal="right" vertical="top"/>
    </xf>
    <xf numFmtId="0" fontId="9" fillId="3" borderId="47" xfId="6" applyFont="1" applyFill="1" applyBorder="1" applyAlignment="1">
      <alignment vertical="top"/>
    </xf>
    <xf numFmtId="174" fontId="9" fillId="3" borderId="49" xfId="9" applyNumberFormat="1" applyFont="1" applyFill="1" applyBorder="1" applyAlignment="1">
      <alignment vertical="top"/>
    </xf>
    <xf numFmtId="168" fontId="9" fillId="3" borderId="36" xfId="9" applyFont="1" applyFill="1" applyBorder="1" applyAlignment="1">
      <alignment horizontal="center" vertical="top"/>
    </xf>
    <xf numFmtId="174" fontId="9" fillId="3" borderId="36" xfId="9" applyNumberFormat="1" applyFont="1" applyFill="1" applyBorder="1" applyAlignment="1">
      <alignment vertical="top"/>
    </xf>
    <xf numFmtId="168" fontId="9" fillId="3" borderId="47" xfId="9" applyFont="1" applyFill="1" applyBorder="1" applyAlignment="1">
      <alignment vertical="top"/>
    </xf>
    <xf numFmtId="2" fontId="9" fillId="0" borderId="26" xfId="6" applyNumberFormat="1" applyFont="1" applyFill="1" applyBorder="1" applyAlignment="1">
      <alignment horizontal="right" vertical="top"/>
    </xf>
    <xf numFmtId="174" fontId="9" fillId="0" borderId="26" xfId="9" applyNumberFormat="1" applyFont="1" applyFill="1" applyBorder="1" applyAlignment="1">
      <alignment vertical="top"/>
    </xf>
    <xf numFmtId="168" fontId="9" fillId="0" borderId="8" xfId="9" applyFont="1" applyFill="1" applyBorder="1" applyAlignment="1">
      <alignment horizontal="center" vertical="top"/>
    </xf>
    <xf numFmtId="174" fontId="9" fillId="0" borderId="8" xfId="9" applyNumberFormat="1" applyFont="1" applyFill="1" applyBorder="1" applyAlignment="1">
      <alignment vertical="top"/>
    </xf>
    <xf numFmtId="168" fontId="9" fillId="0" borderId="27" xfId="9" applyFont="1" applyFill="1" applyBorder="1" applyAlignment="1">
      <alignment vertical="top"/>
    </xf>
    <xf numFmtId="10" fontId="10" fillId="0" borderId="0" xfId="6" applyNumberFormat="1" applyFont="1" applyBorder="1" applyAlignment="1">
      <alignment horizontal="center" vertical="top"/>
    </xf>
    <xf numFmtId="1" fontId="9" fillId="0" borderId="26" xfId="6" applyNumberFormat="1" applyFont="1" applyBorder="1" applyAlignment="1">
      <alignment horizontal="right" vertical="top"/>
    </xf>
    <xf numFmtId="0" fontId="9" fillId="0" borderId="27" xfId="6" applyFont="1" applyBorder="1" applyAlignment="1">
      <alignment vertical="top"/>
    </xf>
    <xf numFmtId="174" fontId="9" fillId="0" borderId="26" xfId="9" applyNumberFormat="1" applyFont="1" applyBorder="1" applyAlignment="1">
      <alignment vertical="top"/>
    </xf>
    <xf numFmtId="168" fontId="9" fillId="0" borderId="8" xfId="9" applyFont="1" applyBorder="1" applyAlignment="1">
      <alignment horizontal="center" vertical="top"/>
    </xf>
    <xf numFmtId="174" fontId="9" fillId="0" borderId="8" xfId="9" applyNumberFormat="1" applyFont="1" applyBorder="1" applyAlignment="1">
      <alignment vertical="top"/>
    </xf>
    <xf numFmtId="1" fontId="10" fillId="0" borderId="26" xfId="6" quotePrefix="1" applyNumberFormat="1" applyFont="1" applyBorder="1" applyAlignment="1">
      <alignment horizontal="right" vertical="top"/>
    </xf>
    <xf numFmtId="0" fontId="10" fillId="0" borderId="27" xfId="6" applyFont="1" applyBorder="1" applyAlignment="1">
      <alignment vertical="top"/>
    </xf>
    <xf numFmtId="168" fontId="10" fillId="0" borderId="8" xfId="9" applyFont="1" applyBorder="1" applyAlignment="1">
      <alignment horizontal="center" vertical="top"/>
    </xf>
    <xf numFmtId="169" fontId="9" fillId="0" borderId="26" xfId="6" applyNumberFormat="1" applyFont="1" applyFill="1" applyBorder="1" applyAlignment="1">
      <alignment horizontal="right" vertical="top"/>
    </xf>
    <xf numFmtId="174" fontId="10" fillId="0" borderId="0" xfId="9" applyNumberFormat="1" applyFont="1" applyFill="1" applyBorder="1" applyAlignment="1">
      <alignment vertical="top"/>
    </xf>
    <xf numFmtId="0" fontId="22" fillId="0" borderId="27" xfId="6" applyFont="1" applyFill="1" applyBorder="1" applyAlignment="1">
      <alignment vertical="top"/>
    </xf>
    <xf numFmtId="1" fontId="9" fillId="0" borderId="26" xfId="6" quotePrefix="1" applyNumberFormat="1" applyFont="1" applyBorder="1" applyAlignment="1">
      <alignment horizontal="right" vertical="top"/>
    </xf>
    <xf numFmtId="0" fontId="9" fillId="0" borderId="40" xfId="6" applyFont="1" applyBorder="1" applyAlignment="1">
      <alignment vertical="top"/>
    </xf>
    <xf numFmtId="0" fontId="10" fillId="0" borderId="40" xfId="6" applyFont="1" applyBorder="1" applyAlignment="1">
      <alignment vertical="top"/>
    </xf>
    <xf numFmtId="174" fontId="10" fillId="0" borderId="8" xfId="9" applyNumberFormat="1" applyFont="1" applyBorder="1" applyAlignment="1">
      <alignment horizontal="right" vertical="top"/>
    </xf>
    <xf numFmtId="169" fontId="9" fillId="0" borderId="50" xfId="6" quotePrefix="1" applyNumberFormat="1" applyFont="1" applyFill="1" applyBorder="1" applyAlignment="1">
      <alignment horizontal="right" vertical="top"/>
    </xf>
    <xf numFmtId="0" fontId="9" fillId="0" borderId="40" xfId="6" applyFont="1" applyFill="1" applyBorder="1" applyAlignment="1">
      <alignment vertical="top"/>
    </xf>
    <xf numFmtId="174" fontId="9" fillId="0" borderId="50" xfId="9" applyNumberFormat="1" applyFont="1" applyFill="1" applyBorder="1" applyAlignment="1">
      <alignment vertical="top"/>
    </xf>
    <xf numFmtId="168" fontId="9" fillId="0" borderId="7" xfId="9" applyFont="1" applyFill="1" applyBorder="1" applyAlignment="1">
      <alignment horizontal="center" vertical="top"/>
    </xf>
    <xf numFmtId="174" fontId="9" fillId="0" borderId="7" xfId="9" applyNumberFormat="1" applyFont="1" applyFill="1" applyBorder="1" applyAlignment="1">
      <alignment vertical="top"/>
    </xf>
    <xf numFmtId="168" fontId="9" fillId="0" borderId="54" xfId="9" applyFont="1" applyFill="1" applyBorder="1" applyAlignment="1">
      <alignment vertical="top"/>
    </xf>
    <xf numFmtId="174" fontId="10" fillId="0" borderId="4" xfId="9" applyNumberFormat="1" applyFont="1" applyFill="1" applyBorder="1" applyAlignment="1">
      <alignment vertical="top"/>
    </xf>
    <xf numFmtId="168" fontId="9" fillId="0" borderId="4" xfId="9" applyFont="1" applyBorder="1" applyAlignment="1">
      <alignment horizontal="center" vertical="top"/>
    </xf>
    <xf numFmtId="169" fontId="10" fillId="0" borderId="26" xfId="6" quotePrefix="1" applyNumberFormat="1" applyFont="1" applyBorder="1" applyAlignment="1">
      <alignment horizontal="right" vertical="top"/>
    </xf>
    <xf numFmtId="0" fontId="10" fillId="0" borderId="27" xfId="8" applyFont="1" applyBorder="1" applyAlignment="1">
      <alignment vertical="top"/>
    </xf>
    <xf numFmtId="174" fontId="9" fillId="3" borderId="46" xfId="9" applyNumberFormat="1" applyFont="1" applyFill="1" applyBorder="1" applyAlignment="1">
      <alignment vertical="top"/>
    </xf>
    <xf numFmtId="168" fontId="9" fillId="3" borderId="48" xfId="9" applyFont="1" applyFill="1" applyBorder="1" applyAlignment="1">
      <alignment horizontal="center" vertical="top"/>
    </xf>
    <xf numFmtId="174" fontId="9" fillId="3" borderId="48" xfId="9" applyNumberFormat="1" applyFont="1" applyFill="1" applyBorder="1" applyAlignment="1">
      <alignment vertical="top"/>
    </xf>
    <xf numFmtId="168" fontId="9" fillId="3" borderId="55" xfId="9" applyFont="1" applyFill="1" applyBorder="1" applyAlignment="1">
      <alignment vertical="top"/>
    </xf>
    <xf numFmtId="0" fontId="5" fillId="0" borderId="0" xfId="0" applyFont="1" applyFill="1" applyAlignment="1" applyProtection="1">
      <alignment vertical="top"/>
    </xf>
    <xf numFmtId="0" fontId="36" fillId="0" borderId="27" xfId="6" applyFont="1" applyBorder="1" applyAlignment="1">
      <alignment vertical="top"/>
    </xf>
    <xf numFmtId="169" fontId="6" fillId="0" borderId="0" xfId="6" quotePrefix="1" applyNumberFormat="1" applyFont="1" applyFill="1" applyBorder="1" applyAlignment="1">
      <alignment horizontal="right" vertical="top"/>
    </xf>
    <xf numFmtId="168" fontId="6" fillId="0" borderId="0" xfId="9" applyFont="1" applyFill="1" applyBorder="1" applyAlignment="1">
      <alignment horizontal="center" vertical="top"/>
    </xf>
    <xf numFmtId="0" fontId="6" fillId="0" borderId="0" xfId="6" applyFont="1" applyBorder="1" applyAlignment="1">
      <alignment vertical="top"/>
    </xf>
    <xf numFmtId="168" fontId="6" fillId="0" borderId="0" xfId="9" applyFont="1" applyFill="1" applyBorder="1" applyAlignment="1">
      <alignment vertical="top"/>
    </xf>
    <xf numFmtId="169" fontId="9" fillId="0" borderId="26" xfId="6" quotePrefix="1" applyNumberFormat="1" applyFont="1" applyBorder="1" applyAlignment="1">
      <alignment horizontal="right" vertical="top"/>
    </xf>
    <xf numFmtId="0" fontId="10" fillId="0" borderId="40" xfId="8" applyFont="1" applyBorder="1" applyAlignment="1">
      <alignment vertical="top"/>
    </xf>
    <xf numFmtId="168" fontId="10" fillId="0" borderId="0" xfId="9" applyFont="1" applyBorder="1" applyAlignment="1">
      <alignment horizontal="center" vertical="top"/>
    </xf>
    <xf numFmtId="174" fontId="10" fillId="0" borderId="41" xfId="9" applyNumberFormat="1" applyFont="1" applyBorder="1" applyAlignment="1">
      <alignment vertical="top"/>
    </xf>
    <xf numFmtId="174" fontId="10" fillId="0" borderId="0" xfId="9" applyNumberFormat="1" applyFont="1" applyBorder="1" applyAlignment="1">
      <alignment vertical="top"/>
    </xf>
    <xf numFmtId="169" fontId="9" fillId="3" borderId="46" xfId="6" quotePrefix="1" applyNumberFormat="1" applyFont="1" applyFill="1" applyBorder="1" applyAlignment="1">
      <alignment horizontal="right" vertical="top"/>
    </xf>
    <xf numFmtId="0" fontId="9" fillId="3" borderId="55" xfId="6" applyFont="1" applyFill="1" applyBorder="1" applyAlignment="1">
      <alignment vertical="top"/>
    </xf>
    <xf numFmtId="2" fontId="9" fillId="0" borderId="0" xfId="6" quotePrefix="1" applyNumberFormat="1" applyFont="1" applyFill="1" applyBorder="1" applyAlignment="1">
      <alignment horizontal="right" vertical="top"/>
    </xf>
    <xf numFmtId="0" fontId="9" fillId="0" borderId="0" xfId="6" applyFont="1" applyFill="1" applyBorder="1" applyAlignment="1">
      <alignment vertical="top"/>
    </xf>
    <xf numFmtId="174" fontId="9" fillId="0" borderId="0" xfId="9" applyNumberFormat="1" applyFont="1" applyFill="1" applyBorder="1" applyAlignment="1">
      <alignment vertical="top"/>
    </xf>
    <xf numFmtId="168" fontId="9" fillId="0" borderId="0" xfId="9" applyFont="1" applyFill="1" applyBorder="1" applyAlignment="1">
      <alignment horizontal="center" vertical="top"/>
    </xf>
    <xf numFmtId="168" fontId="9" fillId="0" borderId="0" xfId="9" applyFont="1" applyFill="1" applyBorder="1" applyAlignment="1">
      <alignment vertical="top"/>
    </xf>
    <xf numFmtId="169" fontId="9" fillId="3" borderId="51" xfId="6" quotePrefix="1" applyNumberFormat="1" applyFont="1" applyFill="1" applyBorder="1" applyAlignment="1">
      <alignment horizontal="right" vertical="top"/>
    </xf>
    <xf numFmtId="0" fontId="9" fillId="3" borderId="35" xfId="6" applyFont="1" applyFill="1" applyBorder="1" applyAlignment="1">
      <alignment vertical="top"/>
    </xf>
    <xf numFmtId="174" fontId="10" fillId="3" borderId="51" xfId="9" applyNumberFormat="1" applyFont="1" applyFill="1" applyBorder="1" applyAlignment="1">
      <alignment vertical="top"/>
    </xf>
    <xf numFmtId="0" fontId="9" fillId="3" borderId="34" xfId="9" applyNumberFormat="1" applyFont="1" applyFill="1" applyBorder="1" applyAlignment="1">
      <alignment horizontal="center" vertical="top"/>
    </xf>
    <xf numFmtId="3" fontId="9" fillId="3" borderId="34" xfId="9" applyNumberFormat="1" applyFont="1" applyFill="1" applyBorder="1" applyAlignment="1">
      <alignment vertical="top"/>
    </xf>
    <xf numFmtId="168" fontId="9" fillId="3" borderId="52" xfId="9" applyFont="1" applyFill="1" applyBorder="1" applyAlignment="1">
      <alignment vertical="top"/>
    </xf>
    <xf numFmtId="174" fontId="9" fillId="3" borderId="58" xfId="6" applyNumberFormat="1" applyFont="1" applyFill="1" applyBorder="1" applyAlignment="1">
      <alignment horizontal="center" vertical="top"/>
    </xf>
    <xf numFmtId="1" fontId="9" fillId="0" borderId="26" xfId="6" quotePrefix="1" applyNumberFormat="1" applyFont="1" applyFill="1" applyBorder="1" applyAlignment="1">
      <alignment horizontal="right" vertical="top"/>
    </xf>
    <xf numFmtId="169" fontId="36" fillId="0" borderId="26" xfId="6" quotePrefix="1" applyNumberFormat="1" applyFont="1" applyFill="1" applyBorder="1" applyAlignment="1">
      <alignment horizontal="right" vertical="top"/>
    </xf>
    <xf numFmtId="0" fontId="36" fillId="0" borderId="27" xfId="6" applyFont="1" applyFill="1" applyBorder="1" applyAlignment="1">
      <alignment vertical="top"/>
    </xf>
    <xf numFmtId="0" fontId="36" fillId="0" borderId="40" xfId="6" applyFont="1" applyFill="1" applyBorder="1" applyAlignment="1">
      <alignment vertical="top"/>
    </xf>
    <xf numFmtId="169" fontId="36" fillId="0" borderId="44" xfId="6" quotePrefix="1" applyNumberFormat="1" applyFont="1" applyFill="1" applyBorder="1" applyAlignment="1">
      <alignment horizontal="right" vertical="top"/>
    </xf>
    <xf numFmtId="0" fontId="36" fillId="0" borderId="56" xfId="6" applyFont="1" applyFill="1" applyBorder="1" applyAlignment="1">
      <alignment vertical="top"/>
    </xf>
    <xf numFmtId="174" fontId="5" fillId="0" borderId="0" xfId="9" applyNumberFormat="1" applyFont="1" applyFill="1" applyBorder="1" applyAlignment="1">
      <alignment vertical="top"/>
    </xf>
    <xf numFmtId="179" fontId="6" fillId="0" borderId="0" xfId="0" applyNumberFormat="1" applyFont="1" applyAlignment="1">
      <alignment horizontal="center" vertical="top"/>
    </xf>
    <xf numFmtId="164" fontId="43" fillId="0" borderId="0" xfId="0" applyNumberFormat="1" applyFont="1" applyFill="1" applyAlignment="1" applyProtection="1">
      <alignment vertical="top"/>
    </xf>
    <xf numFmtId="0" fontId="43" fillId="0" borderId="0" xfId="0" applyFont="1" applyFill="1" applyAlignment="1" applyProtection="1">
      <alignment vertical="top"/>
    </xf>
    <xf numFmtId="0" fontId="43" fillId="0" borderId="0" xfId="0" applyFont="1" applyFill="1" applyAlignment="1" applyProtection="1">
      <alignment horizontal="center" vertical="top"/>
    </xf>
    <xf numFmtId="174" fontId="10" fillId="0" borderId="0" xfId="0" applyNumberFormat="1" applyFont="1" applyFill="1" applyAlignment="1" applyProtection="1">
      <alignment horizontal="center" vertical="top"/>
    </xf>
    <xf numFmtId="9" fontId="10" fillId="0" borderId="0" xfId="0" applyNumberFormat="1" applyFont="1" applyFill="1" applyAlignment="1" applyProtection="1">
      <alignment horizontal="right" vertical="top"/>
    </xf>
    <xf numFmtId="0" fontId="10" fillId="0" borderId="0" xfId="0" applyFont="1" applyFill="1" applyAlignment="1" applyProtection="1">
      <alignment horizontal="left" vertical="top"/>
    </xf>
    <xf numFmtId="1" fontId="10" fillId="0" borderId="0" xfId="0" applyNumberFormat="1" applyFont="1" applyFill="1" applyAlignment="1" applyProtection="1">
      <alignment horizontal="center" vertical="top"/>
    </xf>
    <xf numFmtId="1" fontId="5" fillId="0" borderId="0" xfId="0" applyNumberFormat="1" applyFont="1" applyFill="1" applyAlignment="1" applyProtection="1">
      <alignment horizontal="center" vertical="top"/>
    </xf>
    <xf numFmtId="1" fontId="5" fillId="0" borderId="0" xfId="6" applyNumberFormat="1" applyFont="1" applyFill="1" applyBorder="1" applyAlignment="1">
      <alignment horizontal="center" vertical="top"/>
    </xf>
    <xf numFmtId="174" fontId="10" fillId="3" borderId="36" xfId="9" applyNumberFormat="1" applyFont="1" applyFill="1" applyBorder="1" applyAlignment="1">
      <alignment vertical="top"/>
    </xf>
    <xf numFmtId="0" fontId="10" fillId="0" borderId="27" xfId="6" applyFont="1" applyFill="1" applyBorder="1" applyAlignment="1">
      <alignment horizontal="left" vertical="top" wrapText="1"/>
    </xf>
    <xf numFmtId="0" fontId="45" fillId="0" borderId="0" xfId="0" applyFont="1" applyAlignment="1" applyProtection="1">
      <alignment vertical="top"/>
    </xf>
    <xf numFmtId="0" fontId="46" fillId="0" borderId="0" xfId="0" applyFont="1" applyAlignment="1">
      <alignment vertical="top"/>
    </xf>
    <xf numFmtId="0" fontId="46" fillId="0" borderId="0" xfId="0" applyFont="1" applyFill="1" applyAlignment="1" applyProtection="1">
      <alignment vertical="top"/>
    </xf>
    <xf numFmtId="177" fontId="46" fillId="0" borderId="0" xfId="0" applyNumberFormat="1" applyFont="1" applyFill="1" applyAlignment="1" applyProtection="1">
      <alignment vertical="top"/>
    </xf>
    <xf numFmtId="0" fontId="26" fillId="2" borderId="1" xfId="0" applyFont="1" applyFill="1" applyBorder="1" applyAlignment="1" applyProtection="1">
      <alignment vertical="top"/>
    </xf>
    <xf numFmtId="0" fontId="26" fillId="2" borderId="12" xfId="0" applyFont="1" applyFill="1" applyBorder="1" applyAlignment="1" applyProtection="1">
      <alignment vertical="top"/>
    </xf>
    <xf numFmtId="44" fontId="26" fillId="2" borderId="7" xfId="15" applyFont="1" applyFill="1" applyBorder="1" applyAlignment="1" applyProtection="1">
      <alignment horizontal="center" vertical="top"/>
    </xf>
    <xf numFmtId="0" fontId="22" fillId="2" borderId="3" xfId="0" applyFont="1" applyFill="1" applyBorder="1" applyAlignment="1" applyProtection="1">
      <alignment horizontal="left" vertical="top"/>
    </xf>
    <xf numFmtId="0" fontId="22" fillId="2" borderId="0" xfId="0" applyFont="1" applyFill="1" applyBorder="1" applyAlignment="1" applyProtection="1">
      <alignment horizontal="left" vertical="top"/>
    </xf>
    <xf numFmtId="0" fontId="22" fillId="2" borderId="8" xfId="0" applyFont="1" applyFill="1" applyBorder="1" applyAlignment="1" applyProtection="1">
      <alignment vertical="top"/>
    </xf>
    <xf numFmtId="180" fontId="48" fillId="2" borderId="36" xfId="0" applyNumberFormat="1" applyFont="1" applyFill="1" applyBorder="1" applyAlignment="1" applyProtection="1">
      <alignment horizontal="center" vertical="top"/>
    </xf>
    <xf numFmtId="180" fontId="48" fillId="2" borderId="36" xfId="0" applyNumberFormat="1" applyFont="1" applyFill="1" applyBorder="1" applyAlignment="1" applyProtection="1">
      <alignment horizontal="center" vertical="top" wrapText="1"/>
    </xf>
    <xf numFmtId="0" fontId="26" fillId="2" borderId="36" xfId="0" applyFont="1" applyFill="1" applyBorder="1" applyAlignment="1" applyProtection="1">
      <alignment horizontal="center" vertical="top"/>
    </xf>
    <xf numFmtId="0" fontId="49" fillId="2" borderId="36" xfId="0" applyFont="1" applyFill="1" applyBorder="1" applyAlignment="1" applyProtection="1">
      <alignment horizontal="center" vertical="top"/>
    </xf>
    <xf numFmtId="0" fontId="22" fillId="2" borderId="9" xfId="0" applyFont="1" applyFill="1" applyBorder="1" applyAlignment="1" applyProtection="1">
      <alignment vertical="top"/>
    </xf>
    <xf numFmtId="0" fontId="10" fillId="0" borderId="3" xfId="0" applyFont="1" applyFill="1" applyBorder="1" applyAlignment="1" applyProtection="1">
      <alignment vertical="top"/>
    </xf>
    <xf numFmtId="0" fontId="10" fillId="0" borderId="4" xfId="0" applyFont="1" applyFill="1" applyBorder="1" applyAlignment="1" applyProtection="1">
      <alignment vertical="top"/>
    </xf>
    <xf numFmtId="0" fontId="10" fillId="0" borderId="4" xfId="0" applyFont="1" applyFill="1" applyBorder="1" applyAlignment="1" applyProtection="1">
      <alignment horizontal="center" vertical="top"/>
    </xf>
    <xf numFmtId="0" fontId="10" fillId="0" borderId="4" xfId="0" applyFont="1" applyFill="1" applyBorder="1" applyAlignment="1" applyProtection="1">
      <alignment horizontal="right" vertical="top"/>
    </xf>
    <xf numFmtId="173" fontId="10" fillId="0" borderId="8" xfId="0" applyNumberFormat="1" applyFont="1" applyFill="1" applyBorder="1" applyAlignment="1" applyProtection="1">
      <alignment vertical="top"/>
    </xf>
    <xf numFmtId="3" fontId="10" fillId="0" borderId="8" xfId="0" applyNumberFormat="1" applyFont="1" applyFill="1" applyBorder="1" applyAlignment="1" applyProtection="1">
      <alignment vertical="top"/>
    </xf>
    <xf numFmtId="0" fontId="17" fillId="0" borderId="59" xfId="0" applyNumberFormat="1" applyFont="1" applyFill="1" applyBorder="1" applyAlignment="1" applyProtection="1">
      <alignment horizontal="right" vertical="top"/>
    </xf>
    <xf numFmtId="3" fontId="10" fillId="0" borderId="60" xfId="0" applyNumberFormat="1" applyFont="1" applyFill="1" applyBorder="1" applyAlignment="1" applyProtection="1">
      <alignment vertical="top"/>
    </xf>
    <xf numFmtId="0" fontId="10" fillId="0" borderId="61" xfId="0" applyFont="1" applyFill="1" applyBorder="1" applyAlignment="1" applyProtection="1">
      <alignment vertical="top"/>
    </xf>
    <xf numFmtId="0" fontId="10" fillId="0" borderId="0" xfId="0" applyFont="1" applyFill="1" applyBorder="1" applyAlignment="1" applyProtection="1">
      <alignment horizontal="center" vertical="top"/>
    </xf>
    <xf numFmtId="3" fontId="10" fillId="0" borderId="14" xfId="0" applyNumberFormat="1" applyFont="1" applyFill="1" applyBorder="1" applyAlignment="1" applyProtection="1">
      <alignment horizontal="left" vertical="top"/>
    </xf>
    <xf numFmtId="0" fontId="10" fillId="0" borderId="14" xfId="0" applyFont="1" applyFill="1" applyBorder="1" applyAlignment="1" applyProtection="1">
      <alignment horizontal="center" vertical="top"/>
    </xf>
    <xf numFmtId="3" fontId="10" fillId="0" borderId="14" xfId="0" applyNumberFormat="1" applyFont="1" applyFill="1" applyBorder="1" applyAlignment="1" applyProtection="1">
      <alignment horizontal="right" vertical="top"/>
    </xf>
    <xf numFmtId="173" fontId="44" fillId="0" borderId="15" xfId="5" applyNumberFormat="1" applyFont="1" applyFill="1" applyBorder="1" applyAlignment="1" applyProtection="1">
      <alignment horizontal="right" vertical="top"/>
      <protection locked="0"/>
    </xf>
    <xf numFmtId="181" fontId="44" fillId="0" borderId="15" xfId="5" applyNumberFormat="1" applyFont="1" applyFill="1" applyBorder="1" applyAlignment="1" applyProtection="1">
      <alignment horizontal="right" vertical="top"/>
    </xf>
    <xf numFmtId="182" fontId="9" fillId="0" borderId="63" xfId="5" applyNumberFormat="1" applyFont="1" applyFill="1" applyBorder="1" applyAlignment="1" applyProtection="1">
      <alignment horizontal="right" vertical="top"/>
    </xf>
    <xf numFmtId="0" fontId="10" fillId="0" borderId="64" xfId="0" applyFont="1" applyFill="1" applyBorder="1" applyAlignment="1">
      <alignment vertical="top" wrapText="1"/>
    </xf>
    <xf numFmtId="173" fontId="10" fillId="0" borderId="0" xfId="0" applyNumberFormat="1" applyFont="1" applyFill="1" applyAlignment="1" applyProtection="1">
      <alignment horizontal="center" vertical="top"/>
    </xf>
    <xf numFmtId="3" fontId="10" fillId="0" borderId="65" xfId="0" applyNumberFormat="1" applyFont="1" applyFill="1" applyBorder="1" applyAlignment="1" applyProtection="1">
      <alignment vertical="top"/>
    </xf>
    <xf numFmtId="0" fontId="10" fillId="0" borderId="15" xfId="0" applyFont="1" applyFill="1" applyBorder="1" applyAlignment="1" applyProtection="1">
      <alignment horizontal="center" vertical="top"/>
    </xf>
    <xf numFmtId="3" fontId="10" fillId="0" borderId="65" xfId="0" applyNumberFormat="1" applyFont="1" applyFill="1" applyBorder="1" applyAlignment="1" applyProtection="1">
      <alignment horizontal="right" vertical="top"/>
    </xf>
    <xf numFmtId="173" fontId="10" fillId="0" borderId="15" xfId="5" applyNumberFormat="1" applyFont="1" applyFill="1" applyBorder="1" applyAlignment="1" applyProtection="1">
      <alignment horizontal="right" vertical="top"/>
      <protection locked="0"/>
    </xf>
    <xf numFmtId="181" fontId="10" fillId="0" borderId="15" xfId="5" applyNumberFormat="1" applyFont="1" applyFill="1" applyBorder="1" applyAlignment="1" applyProtection="1">
      <alignment horizontal="right" vertical="top"/>
    </xf>
    <xf numFmtId="173" fontId="17" fillId="0" borderId="15" xfId="5" applyNumberFormat="1" applyFont="1" applyFill="1" applyBorder="1" applyAlignment="1" applyProtection="1">
      <alignment horizontal="right" vertical="top"/>
      <protection locked="0"/>
    </xf>
    <xf numFmtId="182" fontId="10" fillId="0" borderId="63" xfId="5" applyNumberFormat="1" applyFont="1" applyFill="1" applyBorder="1" applyAlignment="1" applyProtection="1">
      <alignment horizontal="right" vertical="top"/>
    </xf>
    <xf numFmtId="43" fontId="10" fillId="0" borderId="15" xfId="16" applyFont="1" applyFill="1" applyBorder="1" applyAlignment="1">
      <alignment horizontal="center" vertical="top"/>
    </xf>
    <xf numFmtId="0" fontId="10" fillId="0" borderId="14" xfId="6" applyFont="1" applyFill="1" applyBorder="1" applyAlignment="1">
      <alignment vertical="top" wrapText="1"/>
    </xf>
    <xf numFmtId="0" fontId="9" fillId="0" borderId="62" xfId="0" applyFont="1" applyFill="1" applyBorder="1" applyAlignment="1" applyProtection="1">
      <alignment vertical="top"/>
    </xf>
    <xf numFmtId="0" fontId="10" fillId="0" borderId="14" xfId="0" applyFont="1" applyFill="1" applyBorder="1" applyAlignment="1" applyProtection="1">
      <alignment vertical="top"/>
    </xf>
    <xf numFmtId="0" fontId="10" fillId="0" borderId="64" xfId="0" applyFont="1" applyFill="1" applyBorder="1" applyAlignment="1" applyProtection="1">
      <alignment vertical="top"/>
      <protection locked="0"/>
    </xf>
    <xf numFmtId="0" fontId="10" fillId="0" borderId="0" xfId="0" applyFont="1" applyFill="1" applyBorder="1" applyAlignment="1" applyProtection="1">
      <alignment horizontal="center" vertical="top"/>
      <protection locked="0"/>
    </xf>
    <xf numFmtId="173" fontId="44" fillId="0" borderId="62" xfId="5" applyNumberFormat="1" applyFont="1" applyFill="1" applyBorder="1" applyAlignment="1" applyProtection="1">
      <alignment horizontal="right" vertical="top"/>
      <protection locked="0"/>
    </xf>
    <xf numFmtId="0" fontId="10" fillId="0" borderId="64" xfId="0" applyFont="1" applyFill="1" applyBorder="1" applyAlignment="1" applyProtection="1">
      <alignment vertical="top" wrapText="1"/>
      <protection locked="0"/>
    </xf>
    <xf numFmtId="173" fontId="10" fillId="0" borderId="0" xfId="0" applyNumberFormat="1" applyFont="1" applyFill="1" applyBorder="1" applyAlignment="1" applyProtection="1">
      <alignment horizontal="center" vertical="top"/>
    </xf>
    <xf numFmtId="4" fontId="10" fillId="0" borderId="0" xfId="0" applyNumberFormat="1" applyFont="1" applyFill="1" applyAlignment="1" applyProtection="1">
      <alignment horizontal="center" vertical="top"/>
    </xf>
    <xf numFmtId="43" fontId="10" fillId="0" borderId="14" xfId="16" applyFont="1" applyFill="1" applyBorder="1" applyAlignment="1">
      <alignment horizontal="center" vertical="top"/>
    </xf>
    <xf numFmtId="3" fontId="10" fillId="0" borderId="15" xfId="16" applyNumberFormat="1" applyFont="1" applyFill="1" applyBorder="1" applyAlignment="1">
      <alignment vertical="top"/>
    </xf>
    <xf numFmtId="0" fontId="10" fillId="0" borderId="62" xfId="0" applyFont="1" applyFill="1" applyBorder="1" applyAlignment="1" applyProtection="1">
      <alignment vertical="top"/>
    </xf>
    <xf numFmtId="169" fontId="9" fillId="0" borderId="62" xfId="0" applyNumberFormat="1" applyFont="1" applyFill="1" applyBorder="1" applyAlignment="1" applyProtection="1">
      <alignment horizontal="left" vertical="top"/>
    </xf>
    <xf numFmtId="169" fontId="10" fillId="0" borderId="14" xfId="0" applyNumberFormat="1" applyFont="1" applyFill="1" applyBorder="1" applyAlignment="1" applyProtection="1">
      <alignment horizontal="left" vertical="top"/>
    </xf>
    <xf numFmtId="169" fontId="10" fillId="0" borderId="14" xfId="0" applyNumberFormat="1" applyFont="1" applyFill="1" applyBorder="1" applyAlignment="1" applyProtection="1">
      <alignment horizontal="center" vertical="top"/>
    </xf>
    <xf numFmtId="0" fontId="10" fillId="6" borderId="0" xfId="0" applyFont="1" applyFill="1" applyBorder="1" applyAlignment="1" applyProtection="1">
      <alignment horizontal="center" vertical="top"/>
      <protection locked="0"/>
    </xf>
    <xf numFmtId="3" fontId="10" fillId="0" borderId="14" xfId="16" applyNumberFormat="1" applyFont="1" applyFill="1" applyBorder="1" applyAlignment="1">
      <alignment vertical="top"/>
    </xf>
    <xf numFmtId="0" fontId="10" fillId="0" borderId="0" xfId="0" applyFont="1" applyFill="1" applyBorder="1" applyAlignment="1" applyProtection="1">
      <alignment horizontal="left" vertical="top"/>
      <protection locked="0"/>
    </xf>
    <xf numFmtId="169" fontId="10" fillId="0" borderId="0" xfId="0" applyNumberFormat="1" applyFont="1" applyFill="1" applyBorder="1" applyAlignment="1" applyProtection="1">
      <alignment horizontal="center" vertical="top" wrapText="1"/>
      <protection locked="0"/>
    </xf>
    <xf numFmtId="0" fontId="10" fillId="0" borderId="0" xfId="0" applyFont="1" applyFill="1" applyBorder="1" applyAlignment="1" applyProtection="1">
      <alignment horizontal="center" vertical="top" wrapText="1"/>
      <protection locked="0"/>
    </xf>
    <xf numFmtId="0" fontId="50" fillId="0" borderId="0" xfId="0" applyFont="1" applyAlignment="1">
      <alignment horizontal="center" vertical="top"/>
    </xf>
    <xf numFmtId="183" fontId="10" fillId="0" borderId="0" xfId="0" applyNumberFormat="1" applyFont="1" applyFill="1" applyAlignment="1" applyProtection="1">
      <alignment vertical="top"/>
    </xf>
    <xf numFmtId="0" fontId="10" fillId="0" borderId="64" xfId="8" applyFont="1" applyFill="1" applyBorder="1" applyAlignment="1" applyProtection="1">
      <alignment vertical="top"/>
      <protection locked="0"/>
    </xf>
    <xf numFmtId="169" fontId="10" fillId="0" borderId="62" xfId="0" applyNumberFormat="1" applyFont="1" applyFill="1" applyBorder="1" applyAlignment="1" applyProtection="1">
      <alignment horizontal="left" vertical="top"/>
    </xf>
    <xf numFmtId="3" fontId="10" fillId="0" borderId="14" xfId="8" applyNumberFormat="1" applyFont="1" applyFill="1" applyBorder="1" applyAlignment="1" applyProtection="1">
      <alignment horizontal="right" vertical="top"/>
    </xf>
    <xf numFmtId="0" fontId="10" fillId="0" borderId="0" xfId="8" applyFont="1" applyFill="1" applyBorder="1" applyAlignment="1" applyProtection="1">
      <alignment horizontal="center" vertical="top"/>
      <protection locked="0"/>
    </xf>
    <xf numFmtId="0" fontId="10" fillId="0" borderId="0" xfId="8" applyFont="1" applyFill="1" applyBorder="1" applyAlignment="1" applyProtection="1">
      <alignment horizontal="center" vertical="top"/>
    </xf>
    <xf numFmtId="173" fontId="10" fillId="0" borderId="0" xfId="8" applyNumberFormat="1" applyFont="1" applyFill="1" applyBorder="1" applyAlignment="1" applyProtection="1">
      <alignment horizontal="center" vertical="top"/>
    </xf>
    <xf numFmtId="0" fontId="10" fillId="0" borderId="0" xfId="8" applyFont="1" applyFill="1" applyAlignment="1" applyProtection="1">
      <alignment horizontal="center" vertical="top"/>
    </xf>
    <xf numFmtId="0" fontId="10" fillId="0" borderId="0" xfId="8" applyFont="1" applyFill="1" applyAlignment="1" applyProtection="1">
      <alignment vertical="top"/>
    </xf>
    <xf numFmtId="0" fontId="17" fillId="0" borderId="64" xfId="0" applyFont="1" applyFill="1" applyBorder="1" applyAlignment="1" applyProtection="1">
      <alignment vertical="top"/>
      <protection locked="0"/>
    </xf>
    <xf numFmtId="173" fontId="17" fillId="0" borderId="66" xfId="5" applyNumberFormat="1" applyFont="1" applyFill="1" applyBorder="1" applyAlignment="1" applyProtection="1">
      <alignment horizontal="right" vertical="top" wrapText="1"/>
      <protection locked="0"/>
    </xf>
    <xf numFmtId="182" fontId="10" fillId="0" borderId="67" xfId="5" applyNumberFormat="1" applyFont="1" applyFill="1" applyBorder="1" applyAlignment="1" applyProtection="1">
      <alignment horizontal="right" vertical="top"/>
    </xf>
    <xf numFmtId="173" fontId="17" fillId="0" borderId="68" xfId="5" applyNumberFormat="1" applyFont="1" applyFill="1" applyBorder="1" applyAlignment="1" applyProtection="1">
      <alignment horizontal="right" vertical="top" wrapText="1"/>
      <protection locked="0"/>
    </xf>
    <xf numFmtId="181" fontId="10" fillId="0" borderId="0" xfId="0" applyNumberFormat="1" applyFont="1" applyFill="1" applyAlignment="1" applyProtection="1">
      <alignment horizontal="center" vertical="top"/>
    </xf>
    <xf numFmtId="184" fontId="10" fillId="0" borderId="0" xfId="0" applyNumberFormat="1" applyFont="1" applyFill="1" applyAlignment="1" applyProtection="1">
      <alignment horizontal="center" vertical="top"/>
    </xf>
    <xf numFmtId="181" fontId="10" fillId="0" borderId="0" xfId="0" applyNumberFormat="1" applyFont="1" applyFill="1" applyBorder="1" applyAlignment="1">
      <alignment horizontal="center" vertical="top" wrapText="1"/>
    </xf>
    <xf numFmtId="0" fontId="10" fillId="0" borderId="0" xfId="8" applyFont="1" applyFill="1" applyBorder="1" applyAlignment="1" applyProtection="1">
      <alignment vertical="top"/>
    </xf>
    <xf numFmtId="169" fontId="10" fillId="0" borderId="14" xfId="8" applyNumberFormat="1" applyFont="1" applyFill="1" applyBorder="1" applyAlignment="1" applyProtection="1">
      <alignment horizontal="center" vertical="top"/>
    </xf>
    <xf numFmtId="173" fontId="10" fillId="0" borderId="15" xfId="8" applyNumberFormat="1" applyFont="1" applyFill="1" applyBorder="1" applyAlignment="1" applyProtection="1">
      <alignment vertical="top"/>
      <protection locked="0"/>
    </xf>
    <xf numFmtId="173" fontId="17" fillId="0" borderId="15" xfId="8" applyNumberFormat="1" applyFont="1" applyFill="1" applyBorder="1" applyAlignment="1" applyProtection="1">
      <alignment vertical="top"/>
      <protection locked="0"/>
    </xf>
    <xf numFmtId="0" fontId="10" fillId="0" borderId="62" xfId="6" applyFont="1" applyFill="1" applyBorder="1" applyAlignment="1">
      <alignment vertical="top"/>
    </xf>
    <xf numFmtId="168" fontId="10" fillId="0" borderId="69" xfId="16" applyNumberFormat="1" applyFont="1" applyBorder="1" applyAlignment="1">
      <alignment horizontal="left" vertical="top" wrapText="1"/>
    </xf>
    <xf numFmtId="0" fontId="10" fillId="0" borderId="14" xfId="6" applyFont="1" applyFill="1" applyBorder="1" applyAlignment="1">
      <alignment vertical="top"/>
    </xf>
    <xf numFmtId="168" fontId="10" fillId="0" borderId="0" xfId="16" applyNumberFormat="1" applyFont="1" applyBorder="1" applyAlignment="1">
      <alignment horizontal="left" vertical="top" wrapText="1"/>
    </xf>
    <xf numFmtId="167" fontId="10" fillId="0" borderId="0" xfId="16" applyNumberFormat="1" applyFont="1" applyBorder="1" applyAlignment="1">
      <alignment horizontal="center" vertical="top"/>
    </xf>
    <xf numFmtId="0" fontId="10" fillId="0" borderId="0" xfId="0" applyFont="1" applyFill="1" applyBorder="1" applyAlignment="1" applyProtection="1">
      <alignment vertical="top"/>
    </xf>
    <xf numFmtId="0" fontId="10" fillId="0" borderId="70" xfId="6" applyFont="1" applyFill="1" applyBorder="1" applyAlignment="1">
      <alignment vertical="top"/>
    </xf>
    <xf numFmtId="0" fontId="10" fillId="0" borderId="71" xfId="6" applyFont="1" applyFill="1" applyBorder="1" applyAlignment="1">
      <alignment vertical="top"/>
    </xf>
    <xf numFmtId="3" fontId="10" fillId="0" borderId="71" xfId="0" applyNumberFormat="1" applyFont="1" applyFill="1" applyBorder="1" applyAlignment="1" applyProtection="1">
      <alignment horizontal="right" vertical="top"/>
    </xf>
    <xf numFmtId="9" fontId="10" fillId="0" borderId="72" xfId="16" applyNumberFormat="1" applyFont="1" applyFill="1" applyBorder="1" applyAlignment="1">
      <alignment horizontal="center" vertical="top"/>
    </xf>
    <xf numFmtId="173" fontId="10" fillId="0" borderId="72" xfId="0" applyNumberFormat="1" applyFont="1" applyFill="1" applyBorder="1" applyAlignment="1" applyProtection="1">
      <alignment vertical="top"/>
      <protection locked="0"/>
    </xf>
    <xf numFmtId="181" fontId="10" fillId="0" borderId="72" xfId="5" applyNumberFormat="1" applyFont="1" applyFill="1" applyBorder="1" applyAlignment="1" applyProtection="1">
      <alignment horizontal="right" vertical="top"/>
    </xf>
    <xf numFmtId="182" fontId="10" fillId="0" borderId="73" xfId="5" applyNumberFormat="1" applyFont="1" applyFill="1" applyBorder="1" applyAlignment="1" applyProtection="1">
      <alignment horizontal="right" vertical="top"/>
    </xf>
    <xf numFmtId="0" fontId="10" fillId="0" borderId="74" xfId="0" applyFont="1" applyFill="1" applyBorder="1" applyAlignment="1" applyProtection="1">
      <alignment vertical="top"/>
      <protection locked="0"/>
    </xf>
    <xf numFmtId="167" fontId="10" fillId="0" borderId="75" xfId="16" applyNumberFormat="1" applyFont="1" applyBorder="1" applyAlignment="1">
      <alignment horizontal="center" vertical="top"/>
    </xf>
    <xf numFmtId="0" fontId="9" fillId="0" borderId="38" xfId="0" applyFont="1" applyFill="1" applyBorder="1" applyAlignment="1" applyProtection="1">
      <alignment horizontal="center" vertical="top"/>
    </xf>
    <xf numFmtId="0" fontId="9" fillId="0" borderId="38" xfId="0" applyFont="1" applyFill="1" applyBorder="1" applyAlignment="1" applyProtection="1">
      <alignment horizontal="left" vertical="top"/>
    </xf>
    <xf numFmtId="169" fontId="10" fillId="0" borderId="0" xfId="0" applyNumberFormat="1" applyFont="1" applyFill="1" applyBorder="1" applyAlignment="1" applyProtection="1">
      <alignment horizontal="left" vertical="top"/>
      <protection locked="0"/>
    </xf>
    <xf numFmtId="3" fontId="10" fillId="0" borderId="0" xfId="0" applyNumberFormat="1" applyFont="1" applyFill="1" applyBorder="1" applyAlignment="1" applyProtection="1">
      <alignment horizontal="right" vertical="top"/>
      <protection locked="0"/>
    </xf>
    <xf numFmtId="169" fontId="10" fillId="0" borderId="0" xfId="0" applyNumberFormat="1" applyFont="1" applyFill="1" applyBorder="1" applyAlignment="1" applyProtection="1">
      <alignment horizontal="center" vertical="top"/>
      <protection locked="0"/>
    </xf>
    <xf numFmtId="173" fontId="10" fillId="0" borderId="0" xfId="5" applyNumberFormat="1" applyFont="1" applyFill="1" applyBorder="1" applyAlignment="1" applyProtection="1">
      <alignment horizontal="right" vertical="top"/>
      <protection locked="0"/>
    </xf>
    <xf numFmtId="181" fontId="10" fillId="0" borderId="0" xfId="5" applyNumberFormat="1" applyFont="1" applyFill="1" applyBorder="1" applyAlignment="1" applyProtection="1">
      <alignment horizontal="right" vertical="top"/>
      <protection locked="0"/>
    </xf>
    <xf numFmtId="173" fontId="46" fillId="0" borderId="0" xfId="5" applyNumberFormat="1" applyFont="1" applyFill="1" applyBorder="1" applyAlignment="1" applyProtection="1">
      <alignment horizontal="right" vertical="top"/>
      <protection locked="0"/>
    </xf>
    <xf numFmtId="182" fontId="10" fillId="0" borderId="0" xfId="5" applyNumberFormat="1" applyFont="1" applyFill="1" applyBorder="1" applyAlignment="1" applyProtection="1">
      <alignment horizontal="right" vertical="top"/>
      <protection locked="0"/>
    </xf>
    <xf numFmtId="0" fontId="10" fillId="0" borderId="0" xfId="0" applyFont="1" applyFill="1" applyBorder="1" applyAlignment="1" applyProtection="1">
      <alignment vertical="top"/>
      <protection locked="0"/>
    </xf>
    <xf numFmtId="0" fontId="9" fillId="0" borderId="0" xfId="0" applyFont="1" applyFill="1" applyBorder="1" applyAlignment="1" applyProtection="1">
      <alignment vertical="top"/>
    </xf>
    <xf numFmtId="173" fontId="52" fillId="0" borderId="0" xfId="0" applyNumberFormat="1" applyFont="1" applyFill="1" applyBorder="1" applyAlignment="1" applyProtection="1">
      <alignment vertical="top"/>
    </xf>
    <xf numFmtId="3" fontId="10" fillId="0" borderId="0" xfId="0" applyNumberFormat="1" applyFont="1" applyFill="1" applyBorder="1" applyAlignment="1" applyProtection="1">
      <alignment vertical="top"/>
    </xf>
    <xf numFmtId="3" fontId="46" fillId="0" borderId="0" xfId="0" applyNumberFormat="1" applyFont="1" applyFill="1" applyBorder="1" applyAlignment="1" applyProtection="1">
      <alignment vertical="top"/>
    </xf>
    <xf numFmtId="173" fontId="10" fillId="0" borderId="0" xfId="0" applyNumberFormat="1" applyFont="1" applyFill="1" applyBorder="1" applyAlignment="1" applyProtection="1">
      <alignment horizontal="center" vertical="top"/>
      <protection locked="0"/>
    </xf>
    <xf numFmtId="173" fontId="10" fillId="0" borderId="0" xfId="0" applyNumberFormat="1" applyFont="1" applyFill="1" applyAlignment="1" applyProtection="1">
      <alignment vertical="top"/>
    </xf>
    <xf numFmtId="174" fontId="10" fillId="7" borderId="26" xfId="9" applyNumberFormat="1" applyFont="1" applyFill="1" applyBorder="1" applyAlignment="1">
      <alignment vertical="top"/>
    </xf>
    <xf numFmtId="0" fontId="26" fillId="2" borderId="3" xfId="0" applyFont="1" applyFill="1" applyBorder="1" applyAlignment="1" applyProtection="1">
      <alignment vertical="top"/>
    </xf>
    <xf numFmtId="0" fontId="26" fillId="2" borderId="4" xfId="0" applyFont="1" applyFill="1" applyBorder="1" applyAlignment="1" applyProtection="1">
      <alignment vertical="top"/>
    </xf>
    <xf numFmtId="0" fontId="26" fillId="2" borderId="5" xfId="0" applyFont="1" applyFill="1" applyBorder="1" applyAlignment="1" applyProtection="1">
      <alignment vertical="top"/>
    </xf>
    <xf numFmtId="0" fontId="26" fillId="2" borderId="6" xfId="0" applyFont="1" applyFill="1" applyBorder="1" applyAlignment="1" applyProtection="1">
      <alignment vertical="top"/>
    </xf>
    <xf numFmtId="0" fontId="9" fillId="0" borderId="1" xfId="0" applyFont="1" applyFill="1" applyBorder="1" applyAlignment="1" applyProtection="1">
      <alignment vertical="top"/>
    </xf>
    <xf numFmtId="0" fontId="9" fillId="0" borderId="2" xfId="0" applyFont="1" applyFill="1" applyBorder="1" applyAlignment="1" applyProtection="1">
      <alignment vertical="top"/>
    </xf>
    <xf numFmtId="0" fontId="17" fillId="0" borderId="3" xfId="0" applyNumberFormat="1" applyFont="1" applyFill="1" applyBorder="1" applyAlignment="1" applyProtection="1">
      <alignment horizontal="right" vertical="top"/>
    </xf>
    <xf numFmtId="0" fontId="10" fillId="0" borderId="15" xfId="6" applyFont="1" applyFill="1" applyBorder="1" applyAlignment="1">
      <alignment vertical="top"/>
    </xf>
    <xf numFmtId="0" fontId="9" fillId="0" borderId="15" xfId="6" applyFont="1" applyFill="1" applyBorder="1" applyAlignment="1">
      <alignment vertical="top"/>
    </xf>
    <xf numFmtId="169" fontId="10" fillId="0" borderId="15" xfId="6" applyNumberFormat="1" applyFont="1" applyFill="1" applyBorder="1" applyAlignment="1">
      <alignment vertical="top"/>
    </xf>
    <xf numFmtId="174" fontId="10" fillId="0" borderId="41" xfId="9" applyNumberFormat="1" applyFont="1" applyFill="1" applyBorder="1" applyAlignment="1">
      <alignment vertical="top"/>
    </xf>
    <xf numFmtId="174" fontId="10" fillId="0" borderId="40" xfId="9" applyNumberFormat="1" applyFont="1" applyFill="1" applyBorder="1" applyAlignment="1">
      <alignment vertical="top"/>
    </xf>
    <xf numFmtId="181" fontId="9" fillId="0" borderId="7" xfId="5" applyNumberFormat="1" applyFont="1" applyFill="1" applyBorder="1" applyAlignment="1" applyProtection="1">
      <alignment horizontal="right" vertical="top"/>
    </xf>
    <xf numFmtId="0" fontId="51" fillId="0" borderId="36" xfId="0" applyFont="1" applyFill="1" applyBorder="1" applyAlignment="1" applyProtection="1">
      <alignment horizontal="left" vertical="top"/>
    </xf>
    <xf numFmtId="173" fontId="9" fillId="0" borderId="36" xfId="5" applyNumberFormat="1" applyFont="1" applyFill="1" applyBorder="1" applyAlignment="1" applyProtection="1">
      <alignment horizontal="right" vertical="top"/>
    </xf>
    <xf numFmtId="0" fontId="36" fillId="0" borderId="15" xfId="6" applyFont="1" applyFill="1" applyBorder="1" applyAlignment="1">
      <alignment vertical="top"/>
    </xf>
    <xf numFmtId="2" fontId="36" fillId="0" borderId="15" xfId="6" applyNumberFormat="1" applyFont="1" applyFill="1" applyBorder="1" applyAlignment="1">
      <alignment vertical="top"/>
    </xf>
    <xf numFmtId="174" fontId="10" fillId="0" borderId="57" xfId="9" applyNumberFormat="1" applyFont="1" applyFill="1" applyBorder="1" applyAlignment="1">
      <alignment vertical="top"/>
    </xf>
    <xf numFmtId="174" fontId="10" fillId="0" borderId="10" xfId="9" applyNumberFormat="1" applyFont="1" applyFill="1" applyBorder="1" applyAlignment="1">
      <alignment vertical="top"/>
    </xf>
    <xf numFmtId="174" fontId="10" fillId="0" borderId="56" xfId="9" applyNumberFormat="1" applyFont="1" applyFill="1" applyBorder="1" applyAlignment="1">
      <alignment vertical="top"/>
    </xf>
    <xf numFmtId="169" fontId="10" fillId="0" borderId="15" xfId="0" applyNumberFormat="1" applyFont="1" applyFill="1" applyBorder="1" applyAlignment="1" applyProtection="1">
      <alignment horizontal="center" vertical="top"/>
    </xf>
    <xf numFmtId="173" fontId="10" fillId="0" borderId="0" xfId="0" applyNumberFormat="1" applyFont="1" applyFill="1" applyAlignment="1" applyProtection="1">
      <alignment horizontal="left" vertical="top"/>
    </xf>
    <xf numFmtId="4" fontId="10" fillId="0" borderId="0" xfId="0" applyNumberFormat="1" applyFont="1" applyFill="1" applyAlignment="1" applyProtection="1">
      <alignment horizontal="left" vertical="top"/>
    </xf>
    <xf numFmtId="0" fontId="10" fillId="0" borderId="0" xfId="8" applyFont="1" applyFill="1" applyBorder="1" applyAlignment="1" applyProtection="1">
      <alignment horizontal="left" vertical="top"/>
    </xf>
    <xf numFmtId="172" fontId="10" fillId="0" borderId="0" xfId="1" applyNumberFormat="1" applyFont="1" applyFill="1" applyAlignment="1" applyProtection="1">
      <alignment horizontal="right" vertical="top"/>
    </xf>
    <xf numFmtId="0" fontId="10" fillId="0" borderId="0" xfId="0" applyFont="1" applyFill="1" applyAlignment="1" applyProtection="1">
      <alignment horizontal="center" vertical="top" textRotation="90"/>
    </xf>
    <xf numFmtId="0" fontId="10" fillId="0" borderId="0" xfId="0" applyFont="1" applyAlignment="1">
      <alignment horizontal="center" vertical="top" textRotation="90"/>
    </xf>
    <xf numFmtId="0" fontId="9" fillId="0" borderId="37" xfId="0" applyFont="1" applyFill="1" applyBorder="1" applyAlignment="1" applyProtection="1">
      <alignment vertical="top"/>
    </xf>
    <xf numFmtId="0" fontId="9" fillId="0" borderId="38" xfId="0" applyFont="1" applyFill="1" applyBorder="1" applyAlignment="1" applyProtection="1">
      <alignment vertical="top"/>
    </xf>
    <xf numFmtId="181" fontId="9" fillId="0" borderId="36" xfId="5" applyNumberFormat="1" applyFont="1" applyFill="1" applyBorder="1" applyAlignment="1" applyProtection="1">
      <alignment horizontal="right" vertical="top"/>
    </xf>
    <xf numFmtId="181" fontId="10" fillId="0" borderId="36" xfId="5" applyNumberFormat="1" applyFont="1" applyFill="1" applyBorder="1" applyAlignment="1" applyProtection="1">
      <alignment horizontal="right" vertical="top"/>
    </xf>
    <xf numFmtId="182" fontId="10" fillId="0" borderId="76" xfId="5" applyNumberFormat="1" applyFont="1" applyFill="1" applyBorder="1" applyAlignment="1" applyProtection="1">
      <alignment horizontal="right" vertical="top"/>
    </xf>
    <xf numFmtId="0" fontId="10" fillId="0" borderId="77" xfId="0" applyFont="1" applyFill="1" applyBorder="1" applyAlignment="1" applyProtection="1">
      <alignment vertical="top"/>
      <protection locked="0"/>
    </xf>
    <xf numFmtId="0" fontId="24" fillId="0" borderId="0" xfId="0" applyFont="1" applyFill="1" applyAlignment="1" applyProtection="1">
      <alignment horizontal="left" vertical="top"/>
    </xf>
    <xf numFmtId="173" fontId="10" fillId="0" borderId="0" xfId="0" applyNumberFormat="1" applyFont="1" applyFill="1" applyAlignment="1" applyProtection="1">
      <alignment horizontal="right" vertical="top"/>
    </xf>
    <xf numFmtId="168" fontId="10" fillId="0" borderId="0" xfId="0" applyNumberFormat="1" applyFont="1" applyFill="1" applyAlignment="1" applyProtection="1">
      <alignment horizontal="center" vertical="top"/>
    </xf>
    <xf numFmtId="181" fontId="17" fillId="0" borderId="15" xfId="5" applyNumberFormat="1" applyFont="1" applyFill="1" applyBorder="1" applyAlignment="1" applyProtection="1">
      <alignment horizontal="right" vertical="top"/>
    </xf>
    <xf numFmtId="171" fontId="10" fillId="0" borderId="14" xfId="0" applyNumberFormat="1" applyFont="1" applyFill="1" applyBorder="1" applyAlignment="1" applyProtection="1">
      <alignment horizontal="right" vertical="top"/>
    </xf>
    <xf numFmtId="0" fontId="10" fillId="0" borderId="62" xfId="6" applyFont="1" applyFill="1" applyBorder="1" applyAlignment="1">
      <alignment horizontal="left" vertical="top" wrapText="1"/>
    </xf>
    <xf numFmtId="0" fontId="10" fillId="0" borderId="14" xfId="6" applyFont="1" applyFill="1" applyBorder="1" applyAlignment="1">
      <alignment horizontal="left" vertical="top" wrapText="1"/>
    </xf>
    <xf numFmtId="0" fontId="10" fillId="0" borderId="62" xfId="6" applyFont="1" applyFill="1" applyBorder="1" applyAlignment="1">
      <alignment horizontal="left" vertical="top" wrapText="1"/>
    </xf>
    <xf numFmtId="0" fontId="10" fillId="0" borderId="14" xfId="6" applyFont="1" applyFill="1" applyBorder="1" applyAlignment="1">
      <alignment horizontal="left" vertical="top" wrapText="1"/>
    </xf>
    <xf numFmtId="169" fontId="10" fillId="0" borderId="68" xfId="8" applyNumberFormat="1" applyFont="1" applyFill="1" applyBorder="1" applyAlignment="1" applyProtection="1">
      <alignment horizontal="left" vertical="top" wrapText="1"/>
    </xf>
    <xf numFmtId="169" fontId="10" fillId="0" borderId="18" xfId="8" applyNumberFormat="1" applyFont="1" applyFill="1" applyBorder="1" applyAlignment="1" applyProtection="1">
      <alignment horizontal="left" vertical="top" wrapText="1"/>
    </xf>
    <xf numFmtId="3" fontId="10" fillId="0" borderId="18" xfId="8" applyNumberFormat="1" applyFont="1" applyFill="1" applyBorder="1" applyAlignment="1" applyProtection="1">
      <alignment horizontal="right" vertical="top"/>
    </xf>
    <xf numFmtId="169" fontId="10" fillId="0" borderId="18" xfId="8" applyNumberFormat="1" applyFont="1" applyFill="1" applyBorder="1" applyAlignment="1" applyProtection="1">
      <alignment horizontal="center" vertical="top"/>
    </xf>
    <xf numFmtId="173" fontId="10" fillId="0" borderId="19" xfId="8" applyNumberFormat="1" applyFont="1" applyFill="1" applyBorder="1" applyAlignment="1" applyProtection="1">
      <alignment vertical="top"/>
      <protection locked="0"/>
    </xf>
    <xf numFmtId="181" fontId="17" fillId="0" borderId="19" xfId="5" applyNumberFormat="1" applyFont="1" applyFill="1" applyBorder="1" applyAlignment="1" applyProtection="1">
      <alignment horizontal="right" vertical="top"/>
    </xf>
    <xf numFmtId="173" fontId="17" fillId="0" borderId="19" xfId="8" applyNumberFormat="1" applyFont="1" applyFill="1" applyBorder="1" applyAlignment="1" applyProtection="1">
      <alignment vertical="top"/>
      <protection locked="0"/>
    </xf>
    <xf numFmtId="0" fontId="10" fillId="0" borderId="78" xfId="8" applyFont="1" applyFill="1" applyBorder="1" applyAlignment="1" applyProtection="1">
      <alignment vertical="top"/>
      <protection locked="0"/>
    </xf>
    <xf numFmtId="0" fontId="26" fillId="2" borderId="38" xfId="0" applyFont="1" applyFill="1" applyBorder="1" applyAlignment="1" applyProtection="1">
      <alignment horizontal="center" vertical="top"/>
    </xf>
    <xf numFmtId="0" fontId="51" fillId="0" borderId="38" xfId="0" applyFont="1" applyFill="1" applyBorder="1" applyAlignment="1" applyProtection="1">
      <alignment horizontal="left" vertical="top"/>
    </xf>
    <xf numFmtId="0" fontId="26" fillId="2" borderId="7" xfId="0" applyFont="1" applyFill="1" applyBorder="1" applyAlignment="1" applyProtection="1">
      <alignment vertical="top"/>
    </xf>
    <xf numFmtId="0" fontId="22" fillId="2" borderId="8" xfId="0" applyFont="1" applyFill="1" applyBorder="1" applyAlignment="1" applyProtection="1">
      <alignment horizontal="left" vertical="top"/>
    </xf>
    <xf numFmtId="0" fontId="26" fillId="2" borderId="8" xfId="0" applyFont="1" applyFill="1" applyBorder="1" applyAlignment="1" applyProtection="1">
      <alignment vertical="top"/>
    </xf>
    <xf numFmtId="0" fontId="26" fillId="2" borderId="9" xfId="0" applyFont="1" applyFill="1" applyBorder="1" applyAlignment="1" applyProtection="1">
      <alignment vertical="top"/>
    </xf>
    <xf numFmtId="0" fontId="10" fillId="0" borderId="8" xfId="0" applyFont="1" applyFill="1" applyBorder="1" applyAlignment="1" applyProtection="1">
      <alignment vertical="top"/>
    </xf>
    <xf numFmtId="0" fontId="9" fillId="0" borderId="15" xfId="0" applyFont="1" applyFill="1" applyBorder="1" applyAlignment="1" applyProtection="1">
      <alignment horizontal="left" vertical="top"/>
    </xf>
    <xf numFmtId="0" fontId="10" fillId="0" borderId="15" xfId="6" applyFont="1" applyFill="1" applyBorder="1" applyAlignment="1">
      <alignment horizontal="left" vertical="top" wrapText="1"/>
    </xf>
    <xf numFmtId="0" fontId="9" fillId="0" borderId="15" xfId="6" applyFont="1" applyFill="1" applyBorder="1" applyAlignment="1">
      <alignment horizontal="left" vertical="top" wrapText="1"/>
    </xf>
    <xf numFmtId="0" fontId="9" fillId="0" borderId="15" xfId="0" applyFont="1" applyFill="1" applyBorder="1" applyAlignment="1" applyProtection="1">
      <alignment vertical="top"/>
    </xf>
    <xf numFmtId="0" fontId="10" fillId="0" borderId="15" xfId="0" applyFont="1" applyFill="1" applyBorder="1" applyAlignment="1" applyProtection="1">
      <alignment vertical="top"/>
    </xf>
    <xf numFmtId="169" fontId="9" fillId="0" borderId="15" xfId="0" applyNumberFormat="1" applyFont="1" applyFill="1" applyBorder="1" applyAlignment="1" applyProtection="1">
      <alignment horizontal="left" vertical="top"/>
    </xf>
    <xf numFmtId="0" fontId="9" fillId="0" borderId="15" xfId="6" applyFont="1" applyBorder="1" applyAlignment="1">
      <alignment horizontal="left" vertical="top"/>
    </xf>
    <xf numFmtId="0" fontId="36" fillId="0" borderId="15" xfId="6" applyFont="1" applyFill="1" applyBorder="1" applyAlignment="1">
      <alignment horizontal="left" vertical="top" wrapText="1"/>
    </xf>
    <xf numFmtId="169" fontId="10" fillId="0" borderId="15" xfId="0" applyNumberFormat="1" applyFont="1" applyFill="1" applyBorder="1" applyAlignment="1" applyProtection="1">
      <alignment horizontal="left" vertical="top"/>
    </xf>
    <xf numFmtId="0" fontId="10" fillId="0" borderId="72" xfId="6" applyFont="1" applyFill="1" applyBorder="1" applyAlignment="1">
      <alignment vertical="top"/>
    </xf>
    <xf numFmtId="0" fontId="9" fillId="0" borderId="7" xfId="0" applyFont="1" applyFill="1" applyBorder="1" applyAlignment="1" applyProtection="1">
      <alignment vertical="top"/>
    </xf>
    <xf numFmtId="0" fontId="9" fillId="0" borderId="36" xfId="0" applyFont="1" applyFill="1" applyBorder="1" applyAlignment="1" applyProtection="1">
      <alignment vertical="top"/>
    </xf>
    <xf numFmtId="169" fontId="10" fillId="0" borderId="4" xfId="0" applyNumberFormat="1" applyFont="1" applyFill="1" applyBorder="1" applyAlignment="1" applyProtection="1">
      <alignment horizontal="left" vertical="top"/>
      <protection locked="0"/>
    </xf>
    <xf numFmtId="0" fontId="9" fillId="0" borderId="4" xfId="0" applyFont="1" applyFill="1" applyBorder="1" applyAlignment="1" applyProtection="1">
      <alignment vertical="top"/>
    </xf>
    <xf numFmtId="0" fontId="9" fillId="0" borderId="15" xfId="6" applyFont="1" applyFill="1" applyBorder="1" applyAlignment="1">
      <alignment horizontal="right" vertical="top"/>
    </xf>
    <xf numFmtId="0" fontId="10" fillId="0" borderId="15" xfId="6" applyFont="1" applyFill="1" applyBorder="1" applyAlignment="1">
      <alignment horizontal="right" vertical="top"/>
    </xf>
    <xf numFmtId="0" fontId="36" fillId="0" borderId="15" xfId="6" applyFont="1" applyFill="1" applyBorder="1" applyAlignment="1">
      <alignment horizontal="right" vertical="top"/>
    </xf>
    <xf numFmtId="169" fontId="10" fillId="0" borderId="15" xfId="6" applyNumberFormat="1" applyFont="1" applyFill="1" applyBorder="1" applyAlignment="1">
      <alignment horizontal="right" vertical="top"/>
    </xf>
    <xf numFmtId="0" fontId="15" fillId="0" borderId="0" xfId="0" applyFont="1" applyFill="1" applyBorder="1" applyAlignment="1" applyProtection="1">
      <alignment horizontal="left" vertical="top"/>
      <protection locked="0"/>
    </xf>
    <xf numFmtId="0" fontId="9" fillId="0" borderId="1" xfId="0" applyFont="1" applyFill="1" applyBorder="1" applyAlignment="1" applyProtection="1">
      <alignment horizontal="right" vertical="top"/>
    </xf>
    <xf numFmtId="0" fontId="46" fillId="0" borderId="0" xfId="0" applyFont="1" applyFill="1" applyAlignment="1" applyProtection="1">
      <alignment horizontal="right" vertical="top"/>
    </xf>
    <xf numFmtId="2" fontId="36" fillId="0" borderId="15" xfId="6" applyNumberFormat="1" applyFont="1" applyFill="1" applyBorder="1" applyAlignment="1">
      <alignment horizontal="right" vertical="top"/>
    </xf>
    <xf numFmtId="0" fontId="10" fillId="0" borderId="0" xfId="0" applyFont="1" applyFill="1" applyAlignment="1" applyProtection="1">
      <alignment horizontal="right" vertical="top"/>
    </xf>
    <xf numFmtId="0" fontId="9" fillId="0" borderId="37" xfId="0" applyFont="1" applyFill="1" applyBorder="1" applyAlignment="1" applyProtection="1">
      <alignment horizontal="right" vertical="top"/>
    </xf>
    <xf numFmtId="0" fontId="10" fillId="0" borderId="0" xfId="0" applyFont="1" applyFill="1" applyBorder="1" applyAlignment="1" applyProtection="1">
      <alignment horizontal="right" vertical="top"/>
      <protection locked="0"/>
    </xf>
    <xf numFmtId="0" fontId="15" fillId="0" borderId="0" xfId="0" applyFont="1" applyAlignment="1">
      <alignment horizontal="left" vertical="top"/>
    </xf>
    <xf numFmtId="0" fontId="10" fillId="0" borderId="0" xfId="0" applyFont="1" applyAlignment="1">
      <alignment vertical="top"/>
    </xf>
    <xf numFmtId="0" fontId="10" fillId="0" borderId="0" xfId="0" applyFont="1" applyFill="1" applyBorder="1" applyAlignment="1">
      <alignment horizontal="center" vertical="top" wrapText="1"/>
    </xf>
    <xf numFmtId="0" fontId="10" fillId="0" borderId="0" xfId="0" applyFont="1" applyAlignment="1">
      <alignment horizontal="center" vertical="top"/>
    </xf>
    <xf numFmtId="0" fontId="15" fillId="0" borderId="0" xfId="0" applyFont="1" applyFill="1" applyAlignment="1" applyProtection="1">
      <alignment vertical="top"/>
    </xf>
    <xf numFmtId="0" fontId="15" fillId="0" borderId="0" xfId="0" applyFont="1" applyFill="1" applyAlignment="1" applyProtection="1">
      <alignment horizontal="center" vertical="top"/>
    </xf>
    <xf numFmtId="0" fontId="10" fillId="0" borderId="0" xfId="0" applyFont="1" applyFill="1" applyAlignment="1" applyProtection="1">
      <alignment vertical="top"/>
    </xf>
    <xf numFmtId="0" fontId="9" fillId="0" borderId="0" xfId="0" applyFont="1" applyAlignment="1" applyProtection="1">
      <alignment vertical="top"/>
    </xf>
    <xf numFmtId="0" fontId="45" fillId="0" borderId="0" xfId="0" applyFont="1" applyAlignment="1" applyProtection="1">
      <alignment vertical="top"/>
    </xf>
    <xf numFmtId="0" fontId="10" fillId="0" borderId="0" xfId="0" applyFont="1" applyFill="1" applyAlignment="1" applyProtection="1">
      <alignment horizontal="center" vertical="top"/>
    </xf>
    <xf numFmtId="0" fontId="10" fillId="0" borderId="0" xfId="0" applyFont="1" applyFill="1" applyAlignment="1" applyProtection="1">
      <alignment horizontal="center" vertical="top" textRotation="90"/>
    </xf>
    <xf numFmtId="0" fontId="46" fillId="0" borderId="0" xfId="0" applyFont="1" applyAlignment="1">
      <alignment vertical="top"/>
    </xf>
    <xf numFmtId="0" fontId="10" fillId="0" borderId="0" xfId="0" applyFont="1" applyAlignment="1">
      <alignment horizontal="center" vertical="top" textRotation="90"/>
    </xf>
    <xf numFmtId="179" fontId="6" fillId="0" borderId="0" xfId="0" applyNumberFormat="1" applyFont="1" applyAlignment="1">
      <alignment horizontal="center" vertical="top"/>
    </xf>
    <xf numFmtId="0" fontId="22" fillId="2" borderId="8" xfId="0" applyFont="1" applyFill="1" applyBorder="1" applyAlignment="1" applyProtection="1">
      <alignment vertical="top"/>
    </xf>
    <xf numFmtId="180" fontId="48" fillId="2" borderId="36" xfId="0" applyNumberFormat="1" applyFont="1" applyFill="1" applyBorder="1" applyAlignment="1" applyProtection="1">
      <alignment horizontal="center" vertical="top"/>
    </xf>
    <xf numFmtId="180" fontId="48" fillId="2" borderId="36" xfId="0" applyNumberFormat="1" applyFont="1" applyFill="1" applyBorder="1" applyAlignment="1" applyProtection="1">
      <alignment horizontal="center" vertical="top" wrapText="1"/>
    </xf>
    <xf numFmtId="0" fontId="26" fillId="2" borderId="36" xfId="0" applyFont="1" applyFill="1" applyBorder="1" applyAlignment="1" applyProtection="1">
      <alignment horizontal="center" vertical="top"/>
    </xf>
    <xf numFmtId="0" fontId="49" fillId="2" borderId="36" xfId="0" applyFont="1" applyFill="1" applyBorder="1" applyAlignment="1" applyProtection="1">
      <alignment horizontal="center" vertical="top"/>
    </xf>
    <xf numFmtId="0" fontId="22" fillId="2" borderId="9" xfId="0" applyFont="1" applyFill="1" applyBorder="1" applyAlignment="1" applyProtection="1">
      <alignment vertical="top"/>
    </xf>
    <xf numFmtId="0" fontId="10" fillId="0" borderId="4" xfId="0" applyFont="1" applyFill="1" applyBorder="1" applyAlignment="1" applyProtection="1">
      <alignment vertical="top"/>
    </xf>
    <xf numFmtId="0" fontId="10" fillId="0" borderId="4" xfId="0" applyFont="1" applyFill="1" applyBorder="1" applyAlignment="1" applyProtection="1">
      <alignment horizontal="center" vertical="top"/>
    </xf>
    <xf numFmtId="0" fontId="10" fillId="0" borderId="4" xfId="0" applyFont="1" applyFill="1" applyBorder="1" applyAlignment="1" applyProtection="1">
      <alignment horizontal="right" vertical="top"/>
    </xf>
    <xf numFmtId="173" fontId="10" fillId="0" borderId="8" xfId="0" applyNumberFormat="1" applyFont="1" applyFill="1" applyBorder="1" applyAlignment="1" applyProtection="1">
      <alignment vertical="top"/>
    </xf>
    <xf numFmtId="3" fontId="10" fillId="0" borderId="8" xfId="0" applyNumberFormat="1" applyFont="1" applyFill="1" applyBorder="1" applyAlignment="1" applyProtection="1">
      <alignment vertical="top"/>
    </xf>
    <xf numFmtId="0" fontId="17" fillId="0" borderId="59" xfId="0" applyNumberFormat="1" applyFont="1" applyFill="1" applyBorder="1" applyAlignment="1" applyProtection="1">
      <alignment horizontal="right" vertical="top"/>
    </xf>
    <xf numFmtId="3" fontId="10" fillId="0" borderId="60" xfId="0" applyNumberFormat="1" applyFont="1" applyFill="1" applyBorder="1" applyAlignment="1" applyProtection="1">
      <alignment vertical="top"/>
    </xf>
    <xf numFmtId="0" fontId="10" fillId="0" borderId="61" xfId="0" applyFont="1" applyFill="1" applyBorder="1" applyAlignment="1" applyProtection="1">
      <alignment vertical="top"/>
    </xf>
    <xf numFmtId="3" fontId="10" fillId="0" borderId="65" xfId="0" applyNumberFormat="1" applyFont="1" applyFill="1" applyBorder="1" applyAlignment="1" applyProtection="1">
      <alignment vertical="top"/>
    </xf>
    <xf numFmtId="0" fontId="10" fillId="0" borderId="15" xfId="0" applyFont="1" applyFill="1" applyBorder="1" applyAlignment="1" applyProtection="1">
      <alignment horizontal="center" vertical="top"/>
    </xf>
    <xf numFmtId="3" fontId="10" fillId="0" borderId="65" xfId="0" applyNumberFormat="1" applyFont="1" applyFill="1" applyBorder="1" applyAlignment="1" applyProtection="1">
      <alignment horizontal="right" vertical="top"/>
    </xf>
    <xf numFmtId="0" fontId="10" fillId="0" borderId="64" xfId="0" applyFont="1" applyFill="1" applyBorder="1" applyAlignment="1" applyProtection="1">
      <alignment vertical="top"/>
      <protection locked="0"/>
    </xf>
    <xf numFmtId="0" fontId="10" fillId="0" borderId="0" xfId="0" applyFont="1" applyFill="1" applyBorder="1" applyAlignment="1" applyProtection="1">
      <alignment horizontal="center" vertical="top"/>
    </xf>
    <xf numFmtId="3" fontId="10" fillId="0" borderId="14" xfId="0" applyNumberFormat="1" applyFont="1" applyFill="1" applyBorder="1" applyAlignment="1" applyProtection="1">
      <alignment horizontal="left" vertical="top"/>
    </xf>
    <xf numFmtId="0" fontId="10" fillId="0" borderId="14" xfId="0" applyFont="1" applyFill="1" applyBorder="1" applyAlignment="1" applyProtection="1">
      <alignment horizontal="center" vertical="top"/>
    </xf>
    <xf numFmtId="3" fontId="10" fillId="0" borderId="14" xfId="0" applyNumberFormat="1" applyFont="1" applyFill="1" applyBorder="1" applyAlignment="1" applyProtection="1">
      <alignment horizontal="right" vertical="top"/>
    </xf>
    <xf numFmtId="0" fontId="10" fillId="0" borderId="64" xfId="0" applyFont="1" applyFill="1" applyBorder="1" applyAlignment="1">
      <alignment vertical="top" wrapText="1"/>
    </xf>
    <xf numFmtId="0" fontId="10" fillId="0" borderId="0" xfId="0" applyFont="1" applyFill="1" applyAlignment="1" applyProtection="1">
      <alignment horizontal="left" vertical="top"/>
    </xf>
    <xf numFmtId="173" fontId="10" fillId="0" borderId="0" xfId="0" applyNumberFormat="1" applyFont="1" applyFill="1" applyAlignment="1" applyProtection="1">
      <alignment horizontal="right" vertical="top"/>
    </xf>
    <xf numFmtId="173" fontId="10" fillId="0" borderId="0" xfId="0" applyNumberFormat="1" applyFont="1" applyFill="1" applyAlignment="1" applyProtection="1">
      <alignment horizontal="center" vertical="top"/>
    </xf>
    <xf numFmtId="168" fontId="10" fillId="0" borderId="0" xfId="0" applyNumberFormat="1" applyFont="1" applyFill="1" applyAlignment="1" applyProtection="1">
      <alignment horizontal="center" vertical="top"/>
    </xf>
    <xf numFmtId="0" fontId="24" fillId="0" borderId="0" xfId="0" applyFont="1" applyFill="1" applyAlignment="1" applyProtection="1">
      <alignment horizontal="left" vertical="top"/>
    </xf>
    <xf numFmtId="0" fontId="10" fillId="0" borderId="0" xfId="0" applyFont="1" applyFill="1" applyBorder="1" applyAlignment="1" applyProtection="1">
      <alignment horizontal="center" vertical="top"/>
      <protection locked="0"/>
    </xf>
    <xf numFmtId="173" fontId="10" fillId="0" borderId="0" xfId="0" applyNumberFormat="1" applyFont="1" applyFill="1" applyAlignment="1" applyProtection="1">
      <alignment horizontal="left" vertical="top"/>
    </xf>
    <xf numFmtId="171" fontId="10" fillId="0" borderId="14" xfId="0" applyNumberFormat="1" applyFont="1" applyFill="1" applyBorder="1" applyAlignment="1" applyProtection="1">
      <alignment horizontal="right" vertical="top"/>
    </xf>
    <xf numFmtId="0" fontId="10" fillId="0" borderId="64" xfId="0" applyFont="1" applyFill="1" applyBorder="1" applyAlignment="1" applyProtection="1">
      <alignment vertical="top" wrapText="1"/>
      <protection locked="0"/>
    </xf>
    <xf numFmtId="169" fontId="10" fillId="0" borderId="15" xfId="0" applyNumberFormat="1" applyFont="1" applyFill="1" applyBorder="1" applyAlignment="1" applyProtection="1">
      <alignment horizontal="center" vertical="top"/>
    </xf>
    <xf numFmtId="0" fontId="10" fillId="6" borderId="0" xfId="0" applyFont="1" applyFill="1" applyBorder="1" applyAlignment="1" applyProtection="1">
      <alignment horizontal="center" vertical="top"/>
      <protection locked="0"/>
    </xf>
    <xf numFmtId="4" fontId="10" fillId="0" borderId="0" xfId="0" applyNumberFormat="1" applyFont="1" applyFill="1" applyAlignment="1" applyProtection="1">
      <alignment horizontal="left" vertical="top"/>
    </xf>
    <xf numFmtId="4" fontId="10" fillId="0" borderId="0" xfId="0" applyNumberFormat="1" applyFont="1" applyFill="1" applyAlignment="1" applyProtection="1">
      <alignment horizontal="center" vertical="top"/>
    </xf>
    <xf numFmtId="169" fontId="10" fillId="0" borderId="14" xfId="0" applyNumberFormat="1" applyFont="1" applyFill="1" applyBorder="1" applyAlignment="1" applyProtection="1">
      <alignment horizontal="center" vertical="top"/>
    </xf>
    <xf numFmtId="0" fontId="10" fillId="0" borderId="0" xfId="0" applyFont="1" applyFill="1" applyBorder="1" applyAlignment="1" applyProtection="1">
      <alignment horizontal="left" vertical="top"/>
      <protection locked="0"/>
    </xf>
    <xf numFmtId="169" fontId="10" fillId="0" borderId="0" xfId="0" applyNumberFormat="1" applyFont="1" applyFill="1" applyBorder="1" applyAlignment="1" applyProtection="1">
      <alignment horizontal="center" vertical="top" wrapText="1"/>
      <protection locked="0"/>
    </xf>
    <xf numFmtId="0" fontId="10" fillId="0" borderId="0" xfId="0" applyFont="1" applyFill="1" applyBorder="1" applyAlignment="1" applyProtection="1">
      <alignment horizontal="center" vertical="top" wrapText="1"/>
      <protection locked="0"/>
    </xf>
    <xf numFmtId="173" fontId="10" fillId="0" borderId="0" xfId="0" applyNumberFormat="1" applyFont="1" applyFill="1" applyBorder="1" applyAlignment="1" applyProtection="1">
      <alignment horizontal="center" vertical="top"/>
    </xf>
    <xf numFmtId="0" fontId="50" fillId="0" borderId="0" xfId="0" applyFont="1" applyAlignment="1">
      <alignment horizontal="center" vertical="top"/>
    </xf>
    <xf numFmtId="183" fontId="10" fillId="0" borderId="0" xfId="0" applyNumberFormat="1" applyFont="1" applyFill="1" applyAlignment="1" applyProtection="1">
      <alignment vertical="top"/>
    </xf>
    <xf numFmtId="3" fontId="10" fillId="0" borderId="71" xfId="0" applyNumberFormat="1" applyFont="1" applyFill="1" applyBorder="1" applyAlignment="1" applyProtection="1">
      <alignment horizontal="right" vertical="top"/>
    </xf>
    <xf numFmtId="173" fontId="10" fillId="0" borderId="72" xfId="0" applyNumberFormat="1" applyFont="1" applyFill="1" applyBorder="1" applyAlignment="1" applyProtection="1">
      <alignment vertical="top"/>
      <protection locked="0"/>
    </xf>
    <xf numFmtId="0" fontId="10" fillId="0" borderId="74" xfId="0" applyFont="1" applyFill="1" applyBorder="1" applyAlignment="1" applyProtection="1">
      <alignment vertical="top"/>
      <protection locked="0"/>
    </xf>
    <xf numFmtId="0" fontId="10" fillId="0" borderId="0" xfId="0" applyFont="1" applyFill="1" applyBorder="1" applyAlignment="1" applyProtection="1">
      <alignment vertical="top"/>
    </xf>
    <xf numFmtId="0" fontId="9" fillId="0" borderId="38" xfId="0" applyFont="1" applyFill="1" applyBorder="1" applyAlignment="1" applyProtection="1">
      <alignment horizontal="center" vertical="top"/>
    </xf>
    <xf numFmtId="0" fontId="9" fillId="0" borderId="38" xfId="0" applyFont="1" applyFill="1" applyBorder="1" applyAlignment="1" applyProtection="1">
      <alignment horizontal="left" vertical="top"/>
    </xf>
    <xf numFmtId="0" fontId="10" fillId="0" borderId="77" xfId="0" applyFont="1" applyFill="1" applyBorder="1" applyAlignment="1" applyProtection="1">
      <alignment vertical="top"/>
      <protection locked="0"/>
    </xf>
    <xf numFmtId="3" fontId="10" fillId="0" borderId="0" xfId="0" applyNumberFormat="1" applyFont="1" applyFill="1" applyBorder="1" applyAlignment="1" applyProtection="1">
      <alignment horizontal="right" vertical="top"/>
      <protection locked="0"/>
    </xf>
    <xf numFmtId="169" fontId="10" fillId="0" borderId="0" xfId="0" applyNumberFormat="1" applyFont="1" applyFill="1" applyBorder="1" applyAlignment="1" applyProtection="1">
      <alignment horizontal="center" vertical="top"/>
      <protection locked="0"/>
    </xf>
    <xf numFmtId="0" fontId="10" fillId="0" borderId="0" xfId="0" applyFont="1" applyFill="1" applyBorder="1" applyAlignment="1" applyProtection="1">
      <alignment vertical="top"/>
      <protection locked="0"/>
    </xf>
    <xf numFmtId="173" fontId="52" fillId="0" borderId="0" xfId="0" applyNumberFormat="1" applyFont="1" applyFill="1" applyBorder="1" applyAlignment="1" applyProtection="1">
      <alignment vertical="top"/>
    </xf>
    <xf numFmtId="3" fontId="10" fillId="0" borderId="0" xfId="0" applyNumberFormat="1" applyFont="1" applyFill="1" applyBorder="1" applyAlignment="1" applyProtection="1">
      <alignment vertical="top"/>
    </xf>
    <xf numFmtId="3" fontId="46" fillId="0" borderId="0" xfId="0" applyNumberFormat="1" applyFont="1" applyFill="1" applyBorder="1" applyAlignment="1" applyProtection="1">
      <alignment vertical="top"/>
    </xf>
    <xf numFmtId="0" fontId="46" fillId="0" borderId="0" xfId="0" applyFont="1" applyFill="1" applyAlignment="1" applyProtection="1">
      <alignment vertical="top"/>
    </xf>
    <xf numFmtId="173" fontId="10" fillId="0" borderId="0" xfId="0" applyNumberFormat="1" applyFont="1" applyFill="1" applyBorder="1" applyAlignment="1" applyProtection="1">
      <alignment horizontal="center" vertical="top"/>
      <protection locked="0"/>
    </xf>
    <xf numFmtId="173" fontId="10" fillId="0" borderId="0" xfId="0" applyNumberFormat="1" applyFont="1" applyFill="1" applyAlignment="1" applyProtection="1">
      <alignment vertical="top"/>
    </xf>
    <xf numFmtId="169" fontId="36" fillId="0" borderId="15" xfId="0" applyNumberFormat="1" applyFont="1" applyFill="1" applyBorder="1" applyAlignment="1" applyProtection="1">
      <alignment horizontal="left" vertical="top"/>
    </xf>
    <xf numFmtId="44" fontId="26" fillId="2" borderId="7" xfId="15" applyFont="1" applyFill="1" applyBorder="1" applyAlignment="1" applyProtection="1">
      <alignment horizontal="center" vertical="top"/>
    </xf>
    <xf numFmtId="0" fontId="10" fillId="0" borderId="15" xfId="6" applyFont="1" applyFill="1" applyBorder="1" applyAlignment="1">
      <alignment vertical="top"/>
    </xf>
    <xf numFmtId="173" fontId="10" fillId="0" borderId="15" xfId="5" applyNumberFormat="1" applyFont="1" applyFill="1" applyBorder="1" applyAlignment="1" applyProtection="1">
      <alignment horizontal="right" vertical="top"/>
      <protection locked="0"/>
    </xf>
    <xf numFmtId="181" fontId="10" fillId="0" borderId="15" xfId="5" applyNumberFormat="1" applyFont="1" applyFill="1" applyBorder="1" applyAlignment="1" applyProtection="1">
      <alignment horizontal="right" vertical="top"/>
    </xf>
    <xf numFmtId="173" fontId="44" fillId="0" borderId="62" xfId="5" applyNumberFormat="1" applyFont="1" applyFill="1" applyBorder="1" applyAlignment="1" applyProtection="1">
      <alignment horizontal="right" vertical="top"/>
      <protection locked="0"/>
    </xf>
    <xf numFmtId="182" fontId="9" fillId="0" borderId="63" xfId="5" applyNumberFormat="1" applyFont="1" applyFill="1" applyBorder="1" applyAlignment="1" applyProtection="1">
      <alignment horizontal="right" vertical="top"/>
    </xf>
    <xf numFmtId="173" fontId="44" fillId="0" borderId="15" xfId="5" applyNumberFormat="1" applyFont="1" applyFill="1" applyBorder="1" applyAlignment="1" applyProtection="1">
      <alignment horizontal="right" vertical="top"/>
      <protection locked="0"/>
    </xf>
    <xf numFmtId="181" fontId="44" fillId="0" borderId="15" xfId="5" applyNumberFormat="1" applyFont="1" applyFill="1" applyBorder="1" applyAlignment="1" applyProtection="1">
      <alignment horizontal="right" vertical="top"/>
    </xf>
    <xf numFmtId="181" fontId="17" fillId="0" borderId="15" xfId="5" applyNumberFormat="1" applyFont="1" applyFill="1" applyBorder="1" applyAlignment="1" applyProtection="1">
      <alignment horizontal="right" vertical="top"/>
    </xf>
    <xf numFmtId="173" fontId="17" fillId="0" borderId="15" xfId="5" applyNumberFormat="1" applyFont="1" applyFill="1" applyBorder="1" applyAlignment="1" applyProtection="1">
      <alignment horizontal="right" vertical="top"/>
      <protection locked="0"/>
    </xf>
    <xf numFmtId="182" fontId="10" fillId="0" borderId="63" xfId="5" applyNumberFormat="1" applyFont="1" applyFill="1" applyBorder="1" applyAlignment="1" applyProtection="1">
      <alignment horizontal="right" vertical="top"/>
    </xf>
    <xf numFmtId="172" fontId="10" fillId="0" borderId="0" xfId="1" applyNumberFormat="1" applyFont="1" applyFill="1" applyAlignment="1" applyProtection="1">
      <alignment horizontal="right" vertical="top"/>
    </xf>
    <xf numFmtId="43" fontId="10" fillId="0" borderId="15" xfId="16" applyFont="1" applyFill="1" applyBorder="1" applyAlignment="1">
      <alignment horizontal="center" vertical="top"/>
    </xf>
    <xf numFmtId="3" fontId="10" fillId="0" borderId="15" xfId="16" applyNumberFormat="1" applyFont="1" applyFill="1" applyBorder="1" applyAlignment="1">
      <alignment vertical="top"/>
    </xf>
    <xf numFmtId="43" fontId="10" fillId="0" borderId="14" xfId="16" applyFont="1" applyFill="1" applyBorder="1" applyAlignment="1">
      <alignment horizontal="center" vertical="top"/>
    </xf>
    <xf numFmtId="3" fontId="10" fillId="0" borderId="14" xfId="16" applyNumberFormat="1" applyFont="1" applyFill="1" applyBorder="1" applyAlignment="1">
      <alignment vertical="top"/>
    </xf>
    <xf numFmtId="0" fontId="10" fillId="0" borderId="0" xfId="8" applyFont="1" applyFill="1" applyBorder="1" applyAlignment="1" applyProtection="1">
      <alignment horizontal="center" vertical="top"/>
      <protection locked="0"/>
    </xf>
    <xf numFmtId="0" fontId="10" fillId="0" borderId="0" xfId="8" applyFont="1" applyFill="1" applyBorder="1" applyAlignment="1" applyProtection="1">
      <alignment horizontal="left" vertical="top"/>
    </xf>
    <xf numFmtId="173" fontId="10" fillId="0" borderId="0" xfId="8" applyNumberFormat="1" applyFont="1" applyFill="1" applyBorder="1" applyAlignment="1" applyProtection="1">
      <alignment horizontal="center" vertical="top"/>
    </xf>
    <xf numFmtId="0" fontId="10" fillId="0" borderId="0" xfId="8" applyFont="1" applyFill="1" applyBorder="1" applyAlignment="1" applyProtection="1">
      <alignment horizontal="center" vertical="top"/>
    </xf>
    <xf numFmtId="0" fontId="10" fillId="0" borderId="0" xfId="8" applyFont="1" applyFill="1" applyAlignment="1" applyProtection="1">
      <alignment horizontal="center" vertical="top"/>
    </xf>
    <xf numFmtId="0" fontId="10" fillId="0" borderId="0" xfId="8" applyFont="1" applyFill="1" applyAlignment="1" applyProtection="1">
      <alignment vertical="top"/>
    </xf>
    <xf numFmtId="173" fontId="17" fillId="0" borderId="66" xfId="5" applyNumberFormat="1" applyFont="1" applyFill="1" applyBorder="1" applyAlignment="1" applyProtection="1">
      <alignment horizontal="right" vertical="top" wrapText="1"/>
      <protection locked="0"/>
    </xf>
    <xf numFmtId="182" fontId="10" fillId="0" borderId="67" xfId="5" applyNumberFormat="1" applyFont="1" applyFill="1" applyBorder="1" applyAlignment="1" applyProtection="1">
      <alignment horizontal="right" vertical="top"/>
    </xf>
    <xf numFmtId="173" fontId="17" fillId="0" borderId="68" xfId="5" applyNumberFormat="1" applyFont="1" applyFill="1" applyBorder="1" applyAlignment="1" applyProtection="1">
      <alignment horizontal="right" vertical="top" wrapText="1"/>
      <protection locked="0"/>
    </xf>
    <xf numFmtId="9" fontId="10" fillId="0" borderId="72" xfId="16" applyNumberFormat="1" applyFont="1" applyFill="1" applyBorder="1" applyAlignment="1">
      <alignment horizontal="center" vertical="top"/>
    </xf>
    <xf numFmtId="181" fontId="10" fillId="0" borderId="72" xfId="5" applyNumberFormat="1" applyFont="1" applyFill="1" applyBorder="1" applyAlignment="1" applyProtection="1">
      <alignment horizontal="right" vertical="top"/>
    </xf>
    <xf numFmtId="182" fontId="10" fillId="0" borderId="73" xfId="5" applyNumberFormat="1" applyFont="1" applyFill="1" applyBorder="1" applyAlignment="1" applyProtection="1">
      <alignment horizontal="right" vertical="top"/>
    </xf>
    <xf numFmtId="168" fontId="10" fillId="0" borderId="0" xfId="16" applyNumberFormat="1" applyFont="1" applyBorder="1" applyAlignment="1">
      <alignment horizontal="left" vertical="top" wrapText="1"/>
    </xf>
    <xf numFmtId="167" fontId="10" fillId="0" borderId="0" xfId="16" applyNumberFormat="1" applyFont="1" applyBorder="1" applyAlignment="1">
      <alignment horizontal="center" vertical="top"/>
    </xf>
    <xf numFmtId="173" fontId="9" fillId="0" borderId="36" xfId="5" applyNumberFormat="1" applyFont="1" applyFill="1" applyBorder="1" applyAlignment="1" applyProtection="1">
      <alignment horizontal="right" vertical="top"/>
    </xf>
    <xf numFmtId="181" fontId="10" fillId="0" borderId="36" xfId="5" applyNumberFormat="1" applyFont="1" applyFill="1" applyBorder="1" applyAlignment="1" applyProtection="1">
      <alignment horizontal="right" vertical="top"/>
    </xf>
    <xf numFmtId="182" fontId="10" fillId="0" borderId="76" xfId="5" applyNumberFormat="1" applyFont="1" applyFill="1" applyBorder="1" applyAlignment="1" applyProtection="1">
      <alignment horizontal="right" vertical="top"/>
    </xf>
    <xf numFmtId="168" fontId="10" fillId="0" borderId="69" xfId="16" applyNumberFormat="1" applyFont="1" applyBorder="1" applyAlignment="1">
      <alignment horizontal="left" vertical="top" wrapText="1"/>
    </xf>
    <xf numFmtId="167" fontId="10" fillId="0" borderId="75" xfId="16" applyNumberFormat="1" applyFont="1" applyBorder="1" applyAlignment="1">
      <alignment horizontal="center" vertical="top"/>
    </xf>
    <xf numFmtId="173" fontId="10" fillId="0" borderId="0" xfId="5" applyNumberFormat="1" applyFont="1" applyFill="1" applyBorder="1" applyAlignment="1" applyProtection="1">
      <alignment horizontal="right" vertical="top"/>
      <protection locked="0"/>
    </xf>
    <xf numFmtId="181" fontId="10" fillId="0" borderId="0" xfId="5" applyNumberFormat="1" applyFont="1" applyFill="1" applyBorder="1" applyAlignment="1" applyProtection="1">
      <alignment horizontal="right" vertical="top"/>
      <protection locked="0"/>
    </xf>
    <xf numFmtId="173" fontId="46" fillId="0" borderId="0" xfId="5" applyNumberFormat="1" applyFont="1" applyFill="1" applyBorder="1" applyAlignment="1" applyProtection="1">
      <alignment horizontal="right" vertical="top"/>
      <protection locked="0"/>
    </xf>
    <xf numFmtId="182" fontId="10" fillId="0" borderId="0" xfId="5" applyNumberFormat="1" applyFont="1" applyFill="1" applyBorder="1" applyAlignment="1" applyProtection="1">
      <alignment horizontal="right" vertical="top"/>
      <protection locked="0"/>
    </xf>
    <xf numFmtId="0" fontId="3" fillId="0" borderId="0" xfId="13" applyAlignment="1">
      <alignment vertical="top" wrapText="1"/>
    </xf>
    <xf numFmtId="0" fontId="5" fillId="0" borderId="0" xfId="13" applyFont="1"/>
    <xf numFmtId="0" fontId="10" fillId="0" borderId="0" xfId="13" applyFont="1" applyAlignment="1">
      <alignment vertical="top"/>
    </xf>
    <xf numFmtId="0" fontId="10" fillId="0" borderId="0" xfId="13" applyFont="1" applyBorder="1" applyAlignment="1">
      <alignment vertical="top"/>
    </xf>
    <xf numFmtId="0" fontId="6" fillId="0" borderId="0" xfId="13" applyFont="1" applyAlignment="1">
      <alignment horizontal="left" vertical="top"/>
    </xf>
    <xf numFmtId="0" fontId="5" fillId="0" borderId="0" xfId="13" applyFont="1" applyAlignment="1">
      <alignment vertical="top"/>
    </xf>
    <xf numFmtId="14" fontId="6" fillId="8" borderId="0" xfId="13" applyNumberFormat="1" applyFont="1" applyFill="1" applyAlignment="1">
      <alignment vertical="top"/>
    </xf>
    <xf numFmtId="0" fontId="57" fillId="8" borderId="0" xfId="13" applyFont="1" applyFill="1" applyAlignment="1">
      <alignment vertical="top"/>
    </xf>
    <xf numFmtId="0" fontId="6" fillId="8" borderId="0" xfId="13" applyFont="1" applyFill="1" applyAlignment="1">
      <alignment vertical="top"/>
    </xf>
    <xf numFmtId="0" fontId="5" fillId="0" borderId="0" xfId="13" applyNumberFormat="1" applyFont="1"/>
    <xf numFmtId="0" fontId="6" fillId="0" borderId="0" xfId="13" applyFont="1" applyFill="1" applyBorder="1" applyAlignment="1">
      <alignment horizontal="left" vertical="top"/>
    </xf>
    <xf numFmtId="0" fontId="5" fillId="0" borderId="0" xfId="13" applyFont="1" applyFill="1" applyBorder="1" applyAlignment="1">
      <alignment horizontal="left" vertical="top"/>
    </xf>
    <xf numFmtId="0" fontId="5" fillId="0" borderId="0" xfId="13" applyFont="1" applyAlignment="1">
      <alignment horizontal="center" vertical="top"/>
    </xf>
    <xf numFmtId="0" fontId="6" fillId="0" borderId="0" xfId="13" quotePrefix="1" applyFont="1" applyFill="1" applyBorder="1" applyAlignment="1">
      <alignment horizontal="left" vertical="top"/>
    </xf>
    <xf numFmtId="0" fontId="5" fillId="0" borderId="0" xfId="13" applyFont="1" applyFill="1" applyBorder="1" applyAlignment="1">
      <alignment vertical="top"/>
    </xf>
    <xf numFmtId="0" fontId="5" fillId="0" borderId="0" xfId="13" applyFont="1" applyAlignment="1">
      <alignment horizontal="left" vertical="top" wrapText="1"/>
    </xf>
    <xf numFmtId="0" fontId="4" fillId="0" borderId="0" xfId="13" applyFont="1" applyFill="1" applyBorder="1" applyAlignment="1">
      <alignment vertical="top"/>
    </xf>
    <xf numFmtId="0" fontId="3" fillId="0" borderId="0" xfId="13" applyAlignment="1">
      <alignment horizontal="left" vertical="top"/>
    </xf>
    <xf numFmtId="0" fontId="6" fillId="0" borderId="0" xfId="13" applyFont="1" applyAlignment="1">
      <alignment horizontal="left"/>
    </xf>
    <xf numFmtId="0" fontId="58" fillId="0" borderId="0" xfId="13" applyFont="1" applyFill="1" applyBorder="1" applyAlignment="1">
      <alignment horizontal="left"/>
    </xf>
    <xf numFmtId="0" fontId="4" fillId="0" borderId="0" xfId="13" applyFont="1" applyFill="1" applyBorder="1" applyAlignment="1">
      <alignment horizontal="center"/>
    </xf>
    <xf numFmtId="0" fontId="4" fillId="0" borderId="0" xfId="13" applyFont="1" applyFill="1" applyBorder="1" applyAlignment="1">
      <alignment horizontal="left"/>
    </xf>
    <xf numFmtId="0" fontId="4" fillId="0" borderId="0" xfId="13" applyFont="1" applyFill="1" applyBorder="1"/>
    <xf numFmtId="0" fontId="59" fillId="2" borderId="79" xfId="13" applyFont="1" applyFill="1" applyBorder="1" applyAlignment="1" applyProtection="1">
      <alignment horizontal="left"/>
      <protection locked="0"/>
    </xf>
    <xf numFmtId="0" fontId="60" fillId="2" borderId="80" xfId="13" applyFont="1" applyFill="1" applyBorder="1" applyAlignment="1" applyProtection="1">
      <alignment horizontal="left"/>
      <protection locked="0"/>
    </xf>
    <xf numFmtId="0" fontId="60" fillId="2" borderId="80" xfId="13" applyFont="1" applyFill="1" applyBorder="1" applyProtection="1">
      <protection locked="0"/>
    </xf>
    <xf numFmtId="0" fontId="5" fillId="2" borderId="80" xfId="13" applyFont="1" applyFill="1" applyBorder="1" applyProtection="1">
      <protection locked="0"/>
    </xf>
    <xf numFmtId="0" fontId="5" fillId="2" borderId="81" xfId="13" applyFont="1" applyFill="1" applyBorder="1" applyProtection="1">
      <protection locked="0"/>
    </xf>
    <xf numFmtId="0" fontId="59" fillId="2" borderId="41" xfId="13" applyFont="1" applyFill="1" applyBorder="1" applyAlignment="1" applyProtection="1">
      <alignment horizontal="left"/>
      <protection locked="0"/>
    </xf>
    <xf numFmtId="0" fontId="60" fillId="2" borderId="0" xfId="13" applyFont="1" applyFill="1" applyBorder="1" applyAlignment="1" applyProtection="1">
      <alignment horizontal="left"/>
      <protection locked="0"/>
    </xf>
    <xf numFmtId="0" fontId="60" fillId="2" borderId="0" xfId="13" applyFont="1" applyFill="1" applyBorder="1" applyProtection="1">
      <protection locked="0"/>
    </xf>
    <xf numFmtId="0" fontId="60" fillId="2" borderId="0" xfId="13" applyFont="1" applyFill="1" applyBorder="1" applyAlignment="1" applyProtection="1">
      <alignment horizontal="right"/>
      <protection locked="0"/>
    </xf>
    <xf numFmtId="0" fontId="5" fillId="3" borderId="0" xfId="13" applyFont="1" applyFill="1" applyBorder="1" applyAlignment="1" applyProtection="1">
      <alignment horizontal="center"/>
      <protection locked="0"/>
    </xf>
    <xf numFmtId="0" fontId="61" fillId="2" borderId="0" xfId="13" applyFont="1" applyFill="1" applyProtection="1">
      <protection locked="0"/>
    </xf>
    <xf numFmtId="0" fontId="5" fillId="2" borderId="0" xfId="13" applyFont="1" applyFill="1" applyBorder="1" applyProtection="1">
      <protection locked="0"/>
    </xf>
    <xf numFmtId="0" fontId="5" fillId="2" borderId="40" xfId="13" applyFont="1" applyFill="1" applyBorder="1" applyProtection="1">
      <protection locked="0"/>
    </xf>
    <xf numFmtId="0" fontId="62" fillId="2" borderId="0" xfId="13" applyFont="1" applyFill="1" applyBorder="1" applyProtection="1">
      <protection locked="0"/>
    </xf>
    <xf numFmtId="0" fontId="4" fillId="3" borderId="0" xfId="13" applyFont="1" applyFill="1" applyBorder="1" applyAlignment="1" applyProtection="1">
      <alignment horizontal="center"/>
      <protection locked="0"/>
    </xf>
    <xf numFmtId="14" fontId="5" fillId="3" borderId="0" xfId="13" applyNumberFormat="1" applyFont="1" applyFill="1" applyBorder="1" applyAlignment="1" applyProtection="1">
      <alignment horizontal="center"/>
      <protection locked="0"/>
    </xf>
    <xf numFmtId="0" fontId="61" fillId="2" borderId="0" xfId="13" applyFont="1" applyFill="1" applyBorder="1" applyProtection="1">
      <protection locked="0"/>
    </xf>
    <xf numFmtId="0" fontId="63" fillId="2" borderId="0" xfId="13" applyFont="1" applyFill="1" applyBorder="1" applyProtection="1">
      <protection locked="0"/>
    </xf>
    <xf numFmtId="0" fontId="61" fillId="2" borderId="41" xfId="13" applyFont="1" applyFill="1" applyBorder="1" applyAlignment="1" applyProtection="1">
      <alignment horizontal="left"/>
      <protection locked="0"/>
    </xf>
    <xf numFmtId="0" fontId="14" fillId="2" borderId="0" xfId="13" applyFont="1" applyFill="1" applyBorder="1" applyProtection="1">
      <protection locked="0"/>
    </xf>
    <xf numFmtId="9" fontId="5" fillId="3" borderId="0" xfId="13" applyNumberFormat="1" applyFont="1" applyFill="1" applyBorder="1" applyAlignment="1" applyProtection="1">
      <alignment horizontal="center"/>
      <protection locked="0"/>
    </xf>
    <xf numFmtId="0" fontId="6" fillId="2" borderId="0" xfId="13" applyFont="1" applyFill="1" applyBorder="1" applyProtection="1">
      <protection locked="0"/>
    </xf>
    <xf numFmtId="185" fontId="5" fillId="3" borderId="0" xfId="13" applyNumberFormat="1" applyFont="1" applyFill="1" applyBorder="1" applyAlignment="1" applyProtection="1">
      <alignment horizontal="center"/>
      <protection locked="0"/>
    </xf>
    <xf numFmtId="0" fontId="60" fillId="2" borderId="0" xfId="13" applyFont="1" applyFill="1" applyBorder="1" applyAlignment="1" applyProtection="1">
      <alignment horizontal="center"/>
      <protection locked="0"/>
    </xf>
    <xf numFmtId="0" fontId="61" fillId="2" borderId="82" xfId="13" applyFont="1" applyFill="1" applyBorder="1" applyAlignment="1" applyProtection="1">
      <alignment horizontal="left"/>
      <protection locked="0"/>
    </xf>
    <xf numFmtId="0" fontId="60" fillId="2" borderId="83" xfId="13" applyFont="1" applyFill="1" applyBorder="1" applyProtection="1">
      <protection locked="0"/>
    </xf>
    <xf numFmtId="0" fontId="5" fillId="2" borderId="83" xfId="13" applyFont="1" applyFill="1" applyBorder="1" applyProtection="1">
      <protection locked="0"/>
    </xf>
    <xf numFmtId="0" fontId="5" fillId="2" borderId="84" xfId="13" applyFont="1" applyFill="1" applyBorder="1" applyProtection="1">
      <protection locked="0"/>
    </xf>
    <xf numFmtId="0" fontId="6" fillId="0" borderId="0" xfId="13" applyFont="1"/>
    <xf numFmtId="173" fontId="40" fillId="0" borderId="0" xfId="0" applyNumberFormat="1" applyFont="1" applyFill="1" applyAlignment="1" applyProtection="1">
      <alignment horizontal="center" vertical="top"/>
    </xf>
    <xf numFmtId="0" fontId="40" fillId="0" borderId="0" xfId="0" applyFont="1" applyFill="1" applyAlignment="1" applyProtection="1">
      <alignment horizontal="left" vertical="top"/>
    </xf>
    <xf numFmtId="173" fontId="40" fillId="0" borderId="0" xfId="0" applyNumberFormat="1" applyFont="1" applyFill="1" applyAlignment="1" applyProtection="1">
      <alignment horizontal="left" vertical="top"/>
    </xf>
    <xf numFmtId="0" fontId="40" fillId="0" borderId="0" xfId="8" applyFont="1" applyFill="1" applyBorder="1" applyAlignment="1" applyProtection="1">
      <alignment horizontal="left" vertical="top"/>
    </xf>
    <xf numFmtId="0" fontId="15" fillId="0" borderId="0" xfId="0" applyFont="1" applyFill="1" applyBorder="1" applyAlignment="1" applyProtection="1">
      <alignment vertical="top"/>
    </xf>
    <xf numFmtId="0" fontId="15" fillId="0" borderId="0" xfId="0" applyFont="1" applyBorder="1" applyAlignment="1">
      <alignment vertical="top"/>
    </xf>
    <xf numFmtId="0" fontId="10" fillId="0" borderId="19" xfId="6" applyFont="1" applyFill="1" applyBorder="1" applyAlignment="1">
      <alignment horizontal="left" vertical="top" wrapText="1"/>
    </xf>
    <xf numFmtId="3" fontId="10" fillId="0" borderId="18" xfId="0" applyNumberFormat="1" applyFont="1" applyFill="1" applyBorder="1" applyAlignment="1" applyProtection="1">
      <alignment horizontal="right" vertical="top"/>
    </xf>
    <xf numFmtId="169" fontId="10" fillId="0" borderId="18" xfId="0" applyNumberFormat="1" applyFont="1" applyFill="1" applyBorder="1" applyAlignment="1" applyProtection="1">
      <alignment horizontal="center" vertical="top"/>
    </xf>
    <xf numFmtId="173" fontId="44" fillId="0" borderId="19" xfId="5" applyNumberFormat="1" applyFont="1" applyFill="1" applyBorder="1" applyAlignment="1" applyProtection="1">
      <alignment horizontal="right" vertical="top"/>
      <protection locked="0"/>
    </xf>
    <xf numFmtId="182" fontId="9" fillId="0" borderId="67" xfId="5" applyNumberFormat="1" applyFont="1" applyFill="1" applyBorder="1" applyAlignment="1" applyProtection="1">
      <alignment horizontal="right" vertical="top"/>
    </xf>
    <xf numFmtId="0" fontId="10" fillId="0" borderId="78" xfId="0" applyFont="1" applyFill="1" applyBorder="1" applyAlignment="1" applyProtection="1">
      <alignment vertical="top"/>
      <protection locked="0"/>
    </xf>
    <xf numFmtId="173" fontId="10" fillId="0" borderId="19" xfId="5" applyNumberFormat="1" applyFont="1" applyFill="1" applyBorder="1" applyAlignment="1" applyProtection="1">
      <alignment horizontal="right" vertical="top"/>
      <protection locked="0"/>
    </xf>
    <xf numFmtId="0" fontId="10" fillId="9" borderId="15" xfId="6" applyFont="1" applyFill="1" applyBorder="1" applyAlignment="1">
      <alignment vertical="top"/>
    </xf>
    <xf numFmtId="0" fontId="9" fillId="9" borderId="62" xfId="6" applyFont="1" applyFill="1" applyBorder="1" applyAlignment="1">
      <alignment vertical="top"/>
    </xf>
    <xf numFmtId="0" fontId="10" fillId="9" borderId="15" xfId="0" applyFont="1" applyFill="1" applyBorder="1" applyAlignment="1" applyProtection="1">
      <alignment horizontal="center" vertical="top"/>
    </xf>
    <xf numFmtId="3" fontId="10" fillId="9" borderId="65" xfId="0" applyNumberFormat="1" applyFont="1" applyFill="1" applyBorder="1" applyAlignment="1" applyProtection="1">
      <alignment horizontal="right" vertical="top"/>
    </xf>
    <xf numFmtId="173" fontId="10" fillId="9" borderId="15" xfId="5" applyNumberFormat="1" applyFont="1" applyFill="1" applyBorder="1" applyAlignment="1" applyProtection="1">
      <alignment horizontal="right" vertical="top"/>
      <protection locked="0"/>
    </xf>
    <xf numFmtId="181" fontId="10" fillId="9" borderId="15" xfId="5" applyNumberFormat="1" applyFont="1" applyFill="1" applyBorder="1" applyAlignment="1" applyProtection="1">
      <alignment horizontal="right" vertical="top"/>
    </xf>
    <xf numFmtId="173" fontId="44" fillId="9" borderId="62" xfId="5" applyNumberFormat="1" applyFont="1" applyFill="1" applyBorder="1" applyAlignment="1" applyProtection="1">
      <alignment horizontal="right" vertical="top"/>
      <protection locked="0"/>
    </xf>
    <xf numFmtId="0" fontId="10" fillId="9" borderId="64" xfId="0" applyFont="1" applyFill="1" applyBorder="1" applyAlignment="1">
      <alignment vertical="top" wrapText="1"/>
    </xf>
    <xf numFmtId="0" fontId="10" fillId="0" borderId="0" xfId="13" applyFont="1" applyFill="1" applyBorder="1" applyAlignment="1">
      <alignment vertical="top"/>
    </xf>
    <xf numFmtId="0" fontId="10" fillId="0" borderId="18" xfId="0" applyFont="1" applyFill="1" applyBorder="1" applyAlignment="1" applyProtection="1">
      <alignment horizontal="center" vertical="top"/>
    </xf>
    <xf numFmtId="0" fontId="10" fillId="0" borderId="78" xfId="0" applyFont="1" applyFill="1" applyBorder="1" applyAlignment="1">
      <alignment vertical="top" wrapText="1"/>
    </xf>
    <xf numFmtId="3" fontId="9" fillId="9" borderId="65" xfId="0" applyNumberFormat="1" applyFont="1" applyFill="1" applyBorder="1" applyAlignment="1" applyProtection="1">
      <alignment vertical="top"/>
    </xf>
    <xf numFmtId="173" fontId="17" fillId="0" borderId="19" xfId="5" applyNumberFormat="1" applyFont="1" applyFill="1" applyBorder="1" applyAlignment="1" applyProtection="1">
      <alignment horizontal="right" vertical="top"/>
      <protection locked="0"/>
    </xf>
    <xf numFmtId="0" fontId="10" fillId="0" borderId="85" xfId="0" applyFont="1" applyFill="1" applyBorder="1" applyAlignment="1" applyProtection="1">
      <alignment vertical="top"/>
      <protection locked="0"/>
    </xf>
    <xf numFmtId="0" fontId="10" fillId="0" borderId="86" xfId="6" applyFont="1" applyFill="1" applyBorder="1" applyAlignment="1">
      <alignment horizontal="left" vertical="top" wrapText="1"/>
    </xf>
    <xf numFmtId="173" fontId="44" fillId="0" borderId="68" xfId="5" applyNumberFormat="1" applyFont="1" applyFill="1" applyBorder="1" applyAlignment="1" applyProtection="1">
      <alignment horizontal="right" vertical="top"/>
      <protection locked="0"/>
    </xf>
    <xf numFmtId="0" fontId="10" fillId="0" borderId="78" xfId="0" applyFont="1" applyFill="1" applyBorder="1" applyAlignment="1" applyProtection="1">
      <alignment vertical="top" wrapText="1"/>
      <protection locked="0"/>
    </xf>
    <xf numFmtId="0" fontId="36" fillId="0" borderId="15" xfId="6" applyFont="1" applyFill="1" applyBorder="1"/>
    <xf numFmtId="186" fontId="26" fillId="2" borderId="37" xfId="0" applyNumberFormat="1" applyFont="1" applyFill="1" applyBorder="1" applyAlignment="1" applyProtection="1">
      <alignment horizontal="center" vertical="top"/>
    </xf>
    <xf numFmtId="187" fontId="26" fillId="2" borderId="36" xfId="0" applyNumberFormat="1" applyFont="1" applyFill="1" applyBorder="1" applyAlignment="1" applyProtection="1">
      <alignment horizontal="center" vertical="top"/>
    </xf>
    <xf numFmtId="181" fontId="44" fillId="0" borderId="36" xfId="5" applyNumberFormat="1" applyFont="1" applyFill="1" applyBorder="1" applyAlignment="1" applyProtection="1">
      <alignment horizontal="right" vertical="top"/>
    </xf>
    <xf numFmtId="181" fontId="44" fillId="0" borderId="86" xfId="5" applyNumberFormat="1" applyFont="1" applyFill="1" applyBorder="1" applyAlignment="1" applyProtection="1">
      <alignment horizontal="right" vertical="top"/>
    </xf>
    <xf numFmtId="181" fontId="44" fillId="0" borderId="9" xfId="5" applyNumberFormat="1" applyFont="1" applyFill="1" applyBorder="1" applyAlignment="1" applyProtection="1">
      <alignment horizontal="right" vertical="top"/>
    </xf>
    <xf numFmtId="181" fontId="17" fillId="0" borderId="72" xfId="5" applyNumberFormat="1" applyFont="1" applyFill="1" applyBorder="1" applyAlignment="1" applyProtection="1">
      <alignment horizontal="right" vertical="top"/>
    </xf>
    <xf numFmtId="0" fontId="65" fillId="0" borderId="15" xfId="6" applyFont="1" applyFill="1" applyBorder="1" applyAlignment="1">
      <alignment horizontal="left" vertical="top" wrapText="1"/>
    </xf>
    <xf numFmtId="3" fontId="65" fillId="0" borderId="14" xfId="0" applyNumberFormat="1" applyFont="1" applyFill="1" applyBorder="1" applyAlignment="1" applyProtection="1">
      <alignment horizontal="right" vertical="top"/>
    </xf>
    <xf numFmtId="179" fontId="6" fillId="0" borderId="0" xfId="0" applyNumberFormat="1" applyFont="1" applyAlignment="1">
      <alignment horizontal="left" vertical="top"/>
    </xf>
    <xf numFmtId="0" fontId="66" fillId="0" borderId="0" xfId="13" applyFont="1" applyBorder="1" applyAlignment="1">
      <alignment vertical="top"/>
    </xf>
    <xf numFmtId="0" fontId="10" fillId="0" borderId="0" xfId="13" applyFont="1" applyBorder="1" applyAlignment="1">
      <alignment horizontal="left" vertical="top"/>
    </xf>
    <xf numFmtId="15" fontId="66" fillId="0" borderId="0" xfId="13" applyNumberFormat="1" applyFont="1" applyBorder="1" applyAlignment="1">
      <alignment vertical="top"/>
    </xf>
    <xf numFmtId="0" fontId="10" fillId="0" borderId="0" xfId="13" applyFont="1" applyAlignment="1">
      <alignment horizontal="left" vertical="top"/>
    </xf>
    <xf numFmtId="0" fontId="67" fillId="0" borderId="87" xfId="13" applyFont="1" applyBorder="1" applyAlignment="1">
      <alignment vertical="top"/>
    </xf>
    <xf numFmtId="0" fontId="5" fillId="0" borderId="87" xfId="13" applyFont="1" applyBorder="1" applyAlignment="1">
      <alignment vertical="top"/>
    </xf>
    <xf numFmtId="0" fontId="5" fillId="0" borderId="0" xfId="13" applyFont="1" applyAlignment="1">
      <alignment horizontal="left" vertical="top"/>
    </xf>
    <xf numFmtId="0" fontId="10" fillId="0" borderId="88" xfId="13" applyFont="1" applyFill="1" applyBorder="1" applyAlignment="1">
      <alignment vertical="top"/>
    </xf>
    <xf numFmtId="0" fontId="10" fillId="0" borderId="88" xfId="13" applyFont="1" applyBorder="1" applyAlignment="1">
      <alignment vertical="top"/>
    </xf>
    <xf numFmtId="169" fontId="15" fillId="0" borderId="0" xfId="8" applyNumberFormat="1" applyFont="1" applyFill="1" applyBorder="1" applyAlignment="1" applyProtection="1">
      <alignment horizontal="left" vertical="top"/>
      <protection locked="0"/>
    </xf>
    <xf numFmtId="0" fontId="67" fillId="0" borderId="0" xfId="13" applyFont="1" applyBorder="1" applyAlignment="1">
      <alignment vertical="top"/>
    </xf>
    <xf numFmtId="0" fontId="5" fillId="0" borderId="0" xfId="13" applyFont="1" applyBorder="1" applyAlignment="1">
      <alignment vertical="top"/>
    </xf>
    <xf numFmtId="0" fontId="10" fillId="0" borderId="0" xfId="8" applyFont="1" applyBorder="1" applyAlignment="1">
      <alignment vertical="top" wrapText="1"/>
    </xf>
    <xf numFmtId="177" fontId="68" fillId="0" borderId="0" xfId="8" applyNumberFormat="1" applyFont="1" applyFill="1" applyBorder="1" applyAlignment="1">
      <alignment horizontal="center" vertical="top"/>
    </xf>
    <xf numFmtId="177" fontId="10" fillId="0" borderId="0" xfId="8" applyNumberFormat="1" applyFont="1" applyBorder="1" applyAlignment="1">
      <alignment vertical="top"/>
    </xf>
    <xf numFmtId="0" fontId="4" fillId="0" borderId="0" xfId="8" applyFont="1" applyAlignment="1">
      <alignment horizontal="left" vertical="top"/>
    </xf>
    <xf numFmtId="0" fontId="4" fillId="0" borderId="0" xfId="8" applyFont="1" applyAlignment="1">
      <alignment vertical="top"/>
    </xf>
    <xf numFmtId="0" fontId="69" fillId="10" borderId="36" xfId="8" applyFont="1" applyFill="1" applyBorder="1" applyAlignment="1">
      <alignment horizontal="center" vertical="top" wrapText="1"/>
    </xf>
    <xf numFmtId="0" fontId="4" fillId="0" borderId="0" xfId="8" applyFont="1" applyAlignment="1">
      <alignment horizontal="left" vertical="top" wrapText="1"/>
    </xf>
    <xf numFmtId="0" fontId="4" fillId="0" borderId="0" xfId="8" applyFont="1" applyAlignment="1">
      <alignment vertical="top" wrapText="1"/>
    </xf>
    <xf numFmtId="0" fontId="10" fillId="0" borderId="36" xfId="8" applyFont="1" applyFill="1" applyBorder="1" applyAlignment="1">
      <alignment vertical="top" wrapText="1"/>
    </xf>
    <xf numFmtId="188" fontId="10" fillId="0" borderId="36" xfId="8" applyNumberFormat="1" applyFont="1" applyFill="1" applyBorder="1" applyAlignment="1">
      <alignment horizontal="right" vertical="top"/>
    </xf>
    <xf numFmtId="188" fontId="4" fillId="0" borderId="0" xfId="8" applyNumberFormat="1" applyFont="1" applyAlignment="1">
      <alignment horizontal="left" vertical="top"/>
    </xf>
    <xf numFmtId="189" fontId="10" fillId="0" borderId="36" xfId="8" applyNumberFormat="1" applyFont="1" applyFill="1" applyBorder="1" applyAlignment="1">
      <alignment horizontal="right" vertical="top"/>
    </xf>
    <xf numFmtId="0" fontId="70" fillId="0" borderId="36" xfId="8" applyFont="1" applyFill="1" applyBorder="1" applyAlignment="1">
      <alignment vertical="top" wrapText="1"/>
    </xf>
    <xf numFmtId="188" fontId="70" fillId="0" borderId="36" xfId="8" applyNumberFormat="1" applyFont="1" applyFill="1" applyBorder="1" applyAlignment="1">
      <alignment horizontal="center" vertical="top"/>
    </xf>
    <xf numFmtId="188" fontId="70" fillId="0" borderId="36" xfId="8" applyNumberFormat="1" applyFont="1" applyFill="1" applyBorder="1" applyAlignment="1">
      <alignment horizontal="right" vertical="top"/>
    </xf>
    <xf numFmtId="174" fontId="10" fillId="0" borderId="36" xfId="8" applyNumberFormat="1" applyFont="1" applyBorder="1" applyAlignment="1">
      <alignment horizontal="center" vertical="top"/>
    </xf>
    <xf numFmtId="0" fontId="9" fillId="0" borderId="36" xfId="8" applyFont="1" applyBorder="1" applyAlignment="1">
      <alignment vertical="top" wrapText="1"/>
    </xf>
    <xf numFmtId="173" fontId="10" fillId="0" borderId="36" xfId="9" applyNumberFormat="1" applyFont="1" applyFill="1" applyBorder="1" applyAlignment="1">
      <alignment vertical="top"/>
    </xf>
    <xf numFmtId="173" fontId="10" fillId="0" borderId="36" xfId="8" applyNumberFormat="1" applyFont="1" applyFill="1" applyBorder="1" applyAlignment="1">
      <alignment vertical="top"/>
    </xf>
    <xf numFmtId="173" fontId="9" fillId="0" borderId="36" xfId="8" applyNumberFormat="1" applyFont="1" applyBorder="1" applyAlignment="1">
      <alignment horizontal="right" vertical="top"/>
    </xf>
    <xf numFmtId="174" fontId="4" fillId="0" borderId="0" xfId="8" applyNumberFormat="1" applyFont="1" applyAlignment="1">
      <alignment horizontal="left" vertical="top"/>
    </xf>
    <xf numFmtId="0" fontId="10" fillId="0" borderId="36" xfId="8" applyFont="1" applyBorder="1" applyAlignment="1">
      <alignment vertical="top" wrapText="1"/>
    </xf>
    <xf numFmtId="173" fontId="10" fillId="0" borderId="36" xfId="8" applyNumberFormat="1" applyFont="1" applyBorder="1" applyAlignment="1">
      <alignment horizontal="right" vertical="top"/>
    </xf>
    <xf numFmtId="0" fontId="10" fillId="0" borderId="36" xfId="6" applyFont="1" applyFill="1" applyBorder="1" applyAlignment="1">
      <alignment vertical="top" wrapText="1"/>
    </xf>
    <xf numFmtId="168" fontId="10" fillId="0" borderId="0" xfId="8" applyNumberFormat="1" applyFont="1" applyAlignment="1">
      <alignment horizontal="left" vertical="top"/>
    </xf>
    <xf numFmtId="1" fontId="10" fillId="0" borderId="0" xfId="40" applyNumberFormat="1" applyFont="1" applyFill="1" applyAlignment="1" applyProtection="1">
      <alignment horizontal="center" vertical="top"/>
    </xf>
    <xf numFmtId="168" fontId="4" fillId="0" borderId="0" xfId="8" applyNumberFormat="1" applyFont="1" applyAlignment="1">
      <alignment horizontal="left" vertical="top"/>
    </xf>
    <xf numFmtId="0" fontId="4" fillId="0" borderId="0" xfId="8" applyNumberFormat="1" applyFont="1" applyAlignment="1">
      <alignment horizontal="left" vertical="top"/>
    </xf>
    <xf numFmtId="174" fontId="4" fillId="0" borderId="0" xfId="8" applyNumberFormat="1" applyFont="1" applyBorder="1" applyAlignment="1">
      <alignment horizontal="left" vertical="top"/>
    </xf>
    <xf numFmtId="0" fontId="4" fillId="0" borderId="0" xfId="8" applyFont="1" applyBorder="1" applyAlignment="1">
      <alignment vertical="top"/>
    </xf>
    <xf numFmtId="0" fontId="10" fillId="0" borderId="36" xfId="8" applyFont="1" applyBorder="1" applyAlignment="1">
      <alignment horizontal="left" vertical="top" wrapText="1"/>
    </xf>
    <xf numFmtId="0" fontId="4" fillId="0" borderId="0" xfId="8" applyFont="1" applyBorder="1" applyAlignment="1">
      <alignment horizontal="left" vertical="top"/>
    </xf>
    <xf numFmtId="169" fontId="9" fillId="0" borderId="36" xfId="8" applyNumberFormat="1" applyFont="1" applyFill="1" applyBorder="1" applyAlignment="1" applyProtection="1">
      <alignment horizontal="left" vertical="top"/>
    </xf>
    <xf numFmtId="0" fontId="10" fillId="0" borderId="36" xfId="8" applyFont="1" applyFill="1" applyBorder="1" applyAlignment="1">
      <alignment horizontal="left" vertical="top" wrapText="1"/>
    </xf>
    <xf numFmtId="173" fontId="10" fillId="0" borderId="36" xfId="8" applyNumberFormat="1" applyFont="1" applyFill="1" applyBorder="1" applyAlignment="1">
      <alignment horizontal="right" vertical="top"/>
    </xf>
    <xf numFmtId="174" fontId="4" fillId="0" borderId="0" xfId="8" applyNumberFormat="1" applyFont="1" applyBorder="1" applyAlignment="1">
      <alignment vertical="top"/>
    </xf>
    <xf numFmtId="174" fontId="10" fillId="0" borderId="36" xfId="9" applyNumberFormat="1" applyFont="1" applyFill="1" applyBorder="1" applyAlignment="1">
      <alignment vertical="top"/>
    </xf>
    <xf numFmtId="0" fontId="6" fillId="0" borderId="0" xfId="13" applyFont="1" applyBorder="1" applyAlignment="1">
      <alignment vertical="top"/>
    </xf>
    <xf numFmtId="0" fontId="71" fillId="0" borderId="0" xfId="13" applyFont="1" applyBorder="1" applyAlignment="1">
      <alignment vertical="top"/>
    </xf>
    <xf numFmtId="169" fontId="10" fillId="0" borderId="36" xfId="8" applyNumberFormat="1" applyFont="1" applyFill="1" applyBorder="1" applyAlignment="1" applyProtection="1">
      <alignment horizontal="left" vertical="top"/>
    </xf>
    <xf numFmtId="0" fontId="9" fillId="0" borderId="36" xfId="8" applyFont="1" applyFill="1" applyBorder="1" applyAlignment="1" applyProtection="1">
      <alignment horizontal="right" vertical="top"/>
    </xf>
    <xf numFmtId="173" fontId="10" fillId="0" borderId="36" xfId="8" applyNumberFormat="1" applyFont="1" applyBorder="1" applyAlignment="1">
      <alignment vertical="top"/>
    </xf>
    <xf numFmtId="173" fontId="3" fillId="0" borderId="36" xfId="8" applyNumberFormat="1" applyBorder="1" applyAlignment="1">
      <alignment horizontal="right" vertical="top"/>
    </xf>
    <xf numFmtId="0" fontId="3" fillId="0" borderId="36" xfId="8" applyBorder="1" applyAlignment="1">
      <alignment vertical="top"/>
    </xf>
    <xf numFmtId="0" fontId="3" fillId="0" borderId="0" xfId="8" applyBorder="1" applyAlignment="1">
      <alignment horizontal="left" vertical="top"/>
    </xf>
    <xf numFmtId="0" fontId="3" fillId="0" borderId="0" xfId="8" applyBorder="1" applyAlignment="1">
      <alignment vertical="top"/>
    </xf>
    <xf numFmtId="0" fontId="3" fillId="0" borderId="0" xfId="8" applyAlignment="1">
      <alignment vertical="top"/>
    </xf>
    <xf numFmtId="174" fontId="10" fillId="0" borderId="36" xfId="8" applyNumberFormat="1" applyFont="1" applyBorder="1" applyAlignment="1">
      <alignment vertical="top"/>
    </xf>
    <xf numFmtId="169" fontId="9" fillId="0" borderId="36" xfId="8" applyNumberFormat="1" applyFont="1" applyFill="1" applyBorder="1" applyAlignment="1" applyProtection="1">
      <alignment horizontal="right" vertical="top"/>
    </xf>
    <xf numFmtId="173" fontId="9" fillId="0" borderId="36" xfId="8" applyNumberFormat="1" applyFont="1" applyBorder="1" applyAlignment="1">
      <alignment vertical="top"/>
    </xf>
    <xf numFmtId="174" fontId="9" fillId="0" borderId="36" xfId="8" applyNumberFormat="1" applyFont="1" applyBorder="1" applyAlignment="1">
      <alignment vertical="top"/>
    </xf>
    <xf numFmtId="174" fontId="3" fillId="0" borderId="0" xfId="8" applyNumberFormat="1" applyBorder="1" applyAlignment="1">
      <alignment horizontal="left" vertical="top"/>
    </xf>
    <xf numFmtId="174" fontId="3" fillId="0" borderId="0" xfId="8" applyNumberFormat="1" applyBorder="1" applyAlignment="1">
      <alignment vertical="top"/>
    </xf>
    <xf numFmtId="0" fontId="3" fillId="0" borderId="0" xfId="8" applyAlignment="1">
      <alignment horizontal="left" vertical="top"/>
    </xf>
    <xf numFmtId="0" fontId="3" fillId="0" borderId="0" xfId="8" applyAlignment="1">
      <alignment horizontal="right" vertical="top"/>
    </xf>
    <xf numFmtId="177" fontId="3" fillId="0" borderId="0" xfId="8" applyNumberFormat="1" applyAlignment="1">
      <alignment vertical="top"/>
    </xf>
    <xf numFmtId="0" fontId="10" fillId="11" borderId="77" xfId="8" applyFont="1" applyFill="1" applyBorder="1" applyAlignment="1" applyProtection="1">
      <alignment vertical="top" wrapText="1"/>
      <protection locked="0"/>
    </xf>
    <xf numFmtId="0" fontId="3" fillId="11" borderId="85" xfId="8" applyFill="1" applyBorder="1" applyAlignment="1">
      <alignment vertical="top" wrapText="1"/>
    </xf>
    <xf numFmtId="0" fontId="10" fillId="0" borderId="36" xfId="8" applyFont="1" applyFill="1" applyBorder="1" applyAlignment="1" applyProtection="1">
      <alignment vertical="top"/>
    </xf>
    <xf numFmtId="0" fontId="6" fillId="0" borderId="36" xfId="8" applyFont="1" applyFill="1" applyBorder="1" applyAlignment="1" applyProtection="1">
      <alignment vertical="top"/>
    </xf>
    <xf numFmtId="173" fontId="6" fillId="0" borderId="36" xfId="8" applyNumberFormat="1" applyFont="1" applyBorder="1" applyAlignment="1">
      <alignment vertical="top"/>
    </xf>
    <xf numFmtId="173" fontId="6" fillId="0" borderId="36" xfId="8" applyNumberFormat="1" applyFont="1" applyBorder="1" applyAlignment="1">
      <alignment horizontal="right" vertical="top"/>
    </xf>
    <xf numFmtId="174" fontId="6" fillId="0" borderId="36" xfId="8" applyNumberFormat="1" applyFont="1" applyBorder="1" applyAlignment="1">
      <alignment vertical="top"/>
    </xf>
    <xf numFmtId="0" fontId="3" fillId="0" borderId="0" xfId="8" applyAlignment="1">
      <alignment vertical="top" wrapText="1"/>
    </xf>
    <xf numFmtId="173" fontId="3" fillId="0" borderId="0" xfId="8" applyNumberFormat="1" applyAlignment="1">
      <alignment vertical="top"/>
    </xf>
    <xf numFmtId="17" fontId="10" fillId="0" borderId="0" xfId="8" applyNumberFormat="1" applyFont="1" applyFill="1" applyAlignment="1" applyProtection="1">
      <alignment vertical="top"/>
    </xf>
    <xf numFmtId="10" fontId="10" fillId="0" borderId="0" xfId="7" applyNumberFormat="1" applyFont="1" applyFill="1" applyAlignment="1" applyProtection="1">
      <alignment vertical="top"/>
    </xf>
    <xf numFmtId="188" fontId="10" fillId="7" borderId="36" xfId="8" applyNumberFormat="1" applyFont="1" applyFill="1" applyBorder="1" applyAlignment="1">
      <alignment horizontal="right" vertical="top"/>
    </xf>
    <xf numFmtId="189" fontId="10" fillId="7" borderId="36" xfId="8" applyNumberFormat="1" applyFont="1" applyFill="1" applyBorder="1" applyAlignment="1">
      <alignment horizontal="right" vertical="top"/>
    </xf>
    <xf numFmtId="0" fontId="9" fillId="12" borderId="36" xfId="8" applyFont="1" applyFill="1" applyBorder="1" applyAlignment="1">
      <alignment vertical="top" wrapText="1"/>
    </xf>
    <xf numFmtId="173" fontId="10" fillId="12" borderId="36" xfId="9" applyNumberFormat="1" applyFont="1" applyFill="1" applyBorder="1" applyAlignment="1">
      <alignment vertical="top"/>
    </xf>
    <xf numFmtId="173" fontId="10" fillId="12" borderId="36" xfId="8" applyNumberFormat="1" applyFont="1" applyFill="1" applyBorder="1" applyAlignment="1">
      <alignment vertical="top"/>
    </xf>
    <xf numFmtId="173" fontId="9" fillId="12" borderId="36" xfId="8" applyNumberFormat="1" applyFont="1" applyFill="1" applyBorder="1" applyAlignment="1">
      <alignment horizontal="right" vertical="top"/>
    </xf>
    <xf numFmtId="0" fontId="10" fillId="12" borderId="36" xfId="6" applyFont="1" applyFill="1" applyBorder="1" applyAlignment="1">
      <alignment vertical="top" wrapText="1"/>
    </xf>
    <xf numFmtId="174" fontId="10" fillId="12" borderId="36" xfId="8" applyNumberFormat="1" applyFont="1" applyFill="1" applyBorder="1" applyAlignment="1">
      <alignment horizontal="center" vertical="top"/>
    </xf>
    <xf numFmtId="0" fontId="24" fillId="0" borderId="36" xfId="8" applyFont="1" applyBorder="1" applyAlignment="1">
      <alignment vertical="top" wrapText="1"/>
    </xf>
    <xf numFmtId="173" fontId="9" fillId="12" borderId="36" xfId="9" applyNumberFormat="1" applyFont="1" applyFill="1" applyBorder="1" applyAlignment="1">
      <alignment vertical="top"/>
    </xf>
    <xf numFmtId="173" fontId="9" fillId="12" borderId="36" xfId="8" applyNumberFormat="1" applyFont="1" applyFill="1" applyBorder="1" applyAlignment="1">
      <alignment vertical="top"/>
    </xf>
    <xf numFmtId="0" fontId="9" fillId="12" borderId="36" xfId="6" applyFont="1" applyFill="1" applyBorder="1" applyAlignment="1">
      <alignment vertical="top" wrapText="1"/>
    </xf>
    <xf numFmtId="169" fontId="9" fillId="12" borderId="36" xfId="8" applyNumberFormat="1" applyFont="1" applyFill="1" applyBorder="1" applyAlignment="1" applyProtection="1">
      <alignment horizontal="left" vertical="top"/>
    </xf>
    <xf numFmtId="174" fontId="9" fillId="12" borderId="36" xfId="8" applyNumberFormat="1" applyFont="1" applyFill="1" applyBorder="1" applyAlignment="1">
      <alignment horizontal="center" vertical="top"/>
    </xf>
    <xf numFmtId="169" fontId="10" fillId="0" borderId="36" xfId="8" applyNumberFormat="1" applyFont="1" applyFill="1" applyBorder="1" applyAlignment="1" applyProtection="1">
      <alignment horizontal="left" vertical="top" wrapText="1"/>
    </xf>
    <xf numFmtId="0" fontId="24" fillId="0" borderId="36" xfId="8" applyFont="1" applyFill="1" applyBorder="1" applyAlignment="1">
      <alignment horizontal="left" vertical="top" wrapText="1"/>
    </xf>
    <xf numFmtId="0" fontId="24" fillId="0" borderId="36" xfId="8" applyFont="1" applyFill="1" applyBorder="1" applyAlignment="1">
      <alignment vertical="top" wrapText="1"/>
    </xf>
    <xf numFmtId="173" fontId="3" fillId="0" borderId="0" xfId="8" applyNumberFormat="1" applyFont="1" applyBorder="1" applyAlignment="1">
      <alignment vertical="top"/>
    </xf>
    <xf numFmtId="0" fontId="58" fillId="0" borderId="0" xfId="8" applyFont="1" applyBorder="1" applyAlignment="1">
      <alignment horizontal="right" vertical="top"/>
    </xf>
    <xf numFmtId="0" fontId="5" fillId="0" borderId="0" xfId="0" applyFont="1" applyFill="1" applyBorder="1" applyAlignment="1" applyProtection="1">
      <alignment vertical="top"/>
      <protection locked="0"/>
    </xf>
    <xf numFmtId="0" fontId="5" fillId="0" borderId="0" xfId="0" applyFont="1" applyFill="1" applyBorder="1" applyAlignment="1">
      <alignment horizontal="left" vertical="top" wrapText="1"/>
    </xf>
    <xf numFmtId="0" fontId="54" fillId="0" borderId="0" xfId="0" applyFont="1" applyFill="1" applyBorder="1" applyAlignment="1" applyProtection="1">
      <alignment vertical="top"/>
      <protection locked="0"/>
    </xf>
    <xf numFmtId="0" fontId="54" fillId="0" borderId="0" xfId="0" applyFont="1" applyAlignment="1">
      <alignment vertical="top"/>
    </xf>
    <xf numFmtId="0" fontId="54" fillId="0" borderId="0" xfId="0" applyFont="1" applyAlignment="1">
      <alignment horizontal="center" vertical="top"/>
    </xf>
    <xf numFmtId="0" fontId="54" fillId="0" borderId="0" xfId="0" applyFont="1" applyBorder="1" applyAlignment="1">
      <alignment vertical="top"/>
    </xf>
    <xf numFmtId="0" fontId="5" fillId="0" borderId="0" xfId="0" applyFont="1" applyFill="1" applyBorder="1" applyAlignment="1" applyProtection="1">
      <alignment horizontal="right" vertical="top"/>
      <protection locked="0"/>
    </xf>
    <xf numFmtId="0" fontId="54" fillId="0" borderId="0" xfId="0" applyFont="1" applyAlignment="1">
      <alignment horizontal="left" vertical="top"/>
    </xf>
    <xf numFmtId="0" fontId="5" fillId="0" borderId="0" xfId="0" applyFont="1" applyAlignment="1">
      <alignment horizontal="left" vertical="top"/>
    </xf>
    <xf numFmtId="0" fontId="54" fillId="0" borderId="0" xfId="0" applyFont="1" applyFill="1" applyBorder="1" applyAlignment="1" applyProtection="1">
      <alignment vertical="top"/>
    </xf>
    <xf numFmtId="0" fontId="54" fillId="0" borderId="0" xfId="0" applyFont="1" applyFill="1" applyAlignment="1" applyProtection="1">
      <alignment horizontal="center" vertical="top"/>
    </xf>
    <xf numFmtId="0" fontId="54" fillId="0" borderId="0" xfId="0" applyFont="1" applyFill="1" applyAlignment="1" applyProtection="1">
      <alignment vertical="top"/>
    </xf>
    <xf numFmtId="0" fontId="66" fillId="0" borderId="0" xfId="0" applyFont="1" applyAlignment="1" applyProtection="1">
      <alignment vertical="top"/>
    </xf>
    <xf numFmtId="0" fontId="73" fillId="0" borderId="0" xfId="0" applyFont="1" applyAlignment="1" applyProtection="1">
      <alignment vertical="top"/>
    </xf>
    <xf numFmtId="0" fontId="54" fillId="0" borderId="0" xfId="0" applyFont="1" applyFill="1" applyAlignment="1" applyProtection="1">
      <alignment horizontal="left" vertical="top"/>
    </xf>
    <xf numFmtId="0" fontId="54" fillId="0" borderId="0" xfId="0" applyFont="1" applyFill="1" applyAlignment="1" applyProtection="1">
      <alignment horizontal="right" textRotation="90" wrapText="1"/>
    </xf>
    <xf numFmtId="0" fontId="74" fillId="0" borderId="0" xfId="0" applyFont="1" applyAlignment="1">
      <alignment vertical="top"/>
    </xf>
    <xf numFmtId="0" fontId="5" fillId="0" borderId="0" xfId="0" applyFont="1" applyFill="1" applyBorder="1" applyAlignment="1" applyProtection="1">
      <alignment horizontal="left" vertical="top"/>
      <protection locked="0"/>
    </xf>
    <xf numFmtId="0" fontId="5" fillId="0" borderId="0" xfId="0" applyFont="1" applyFill="1" applyBorder="1" applyAlignment="1" applyProtection="1">
      <alignment vertical="top"/>
    </xf>
    <xf numFmtId="0" fontId="5" fillId="0" borderId="0" xfId="0" applyFont="1" applyFill="1" applyAlignment="1" applyProtection="1">
      <alignment horizontal="center" vertical="top"/>
    </xf>
    <xf numFmtId="0" fontId="5" fillId="0" borderId="0" xfId="0" applyFont="1" applyFill="1" applyAlignment="1" applyProtection="1">
      <alignment horizontal="left" vertical="top"/>
    </xf>
    <xf numFmtId="0" fontId="5" fillId="0" borderId="0" xfId="0" applyFont="1" applyFill="1" applyAlignment="1" applyProtection="1">
      <alignment horizontal="right" textRotation="90" wrapText="1"/>
    </xf>
    <xf numFmtId="0" fontId="30" fillId="2" borderId="7" xfId="0" applyFont="1" applyFill="1" applyBorder="1" applyAlignment="1" applyProtection="1">
      <alignment vertical="top"/>
    </xf>
    <xf numFmtId="44" fontId="30" fillId="2" borderId="7" xfId="15" applyFont="1" applyFill="1" applyBorder="1" applyAlignment="1" applyProtection="1">
      <alignment horizontal="center" vertical="top"/>
    </xf>
    <xf numFmtId="0" fontId="30" fillId="2" borderId="8" xfId="0" applyFont="1" applyFill="1" applyBorder="1" applyAlignment="1" applyProtection="1">
      <alignment vertical="top"/>
    </xf>
    <xf numFmtId="180" fontId="76" fillId="2" borderId="36" xfId="0" applyNumberFormat="1" applyFont="1" applyFill="1" applyBorder="1" applyAlignment="1" applyProtection="1">
      <alignment horizontal="center" vertical="top"/>
    </xf>
    <xf numFmtId="180" fontId="76" fillId="2" borderId="36" xfId="0" applyNumberFormat="1" applyFont="1" applyFill="1" applyBorder="1" applyAlignment="1" applyProtection="1">
      <alignment horizontal="center" vertical="top" wrapText="1"/>
    </xf>
    <xf numFmtId="0" fontId="14" fillId="2" borderId="8" xfId="0" applyFont="1" applyFill="1" applyBorder="1" applyAlignment="1" applyProtection="1">
      <alignment vertical="top"/>
    </xf>
    <xf numFmtId="0" fontId="30" fillId="2" borderId="9" xfId="0" applyFont="1" applyFill="1" applyBorder="1" applyAlignment="1" applyProtection="1">
      <alignment vertical="top"/>
    </xf>
    <xf numFmtId="0" fontId="30" fillId="2" borderId="38" xfId="0" applyFont="1" applyFill="1" applyBorder="1" applyAlignment="1" applyProtection="1">
      <alignment horizontal="center" vertical="top"/>
    </xf>
    <xf numFmtId="0" fontId="30" fillId="2" borderId="36" xfId="0" applyFont="1" applyFill="1" applyBorder="1" applyAlignment="1" applyProtection="1">
      <alignment horizontal="center" vertical="top"/>
    </xf>
    <xf numFmtId="0" fontId="77" fillId="2" borderId="36" xfId="0" applyFont="1" applyFill="1" applyBorder="1" applyAlignment="1" applyProtection="1">
      <alignment horizontal="center" vertical="top"/>
    </xf>
    <xf numFmtId="0" fontId="14" fillId="2" borderId="9" xfId="0" applyFont="1" applyFill="1" applyBorder="1" applyAlignment="1" applyProtection="1">
      <alignment vertical="top"/>
    </xf>
    <xf numFmtId="0" fontId="5" fillId="0" borderId="15" xfId="6" applyFont="1" applyFill="1" applyBorder="1" applyAlignment="1">
      <alignment horizontal="right" vertical="top"/>
    </xf>
    <xf numFmtId="0" fontId="5" fillId="0" borderId="4" xfId="0" applyFont="1" applyFill="1" applyBorder="1" applyAlignment="1" applyProtection="1">
      <alignment vertical="top"/>
    </xf>
    <xf numFmtId="0" fontId="6" fillId="0" borderId="15" xfId="6" applyFont="1" applyFill="1" applyBorder="1" applyAlignment="1">
      <alignment horizontal="right" vertical="top"/>
    </xf>
    <xf numFmtId="0" fontId="6" fillId="0" borderId="15" xfId="0" applyFont="1" applyFill="1" applyBorder="1" applyAlignment="1" applyProtection="1">
      <alignment horizontal="left" vertical="top"/>
    </xf>
    <xf numFmtId="3" fontId="5" fillId="0" borderId="14" xfId="0" applyNumberFormat="1" applyFont="1" applyFill="1" applyBorder="1" applyAlignment="1" applyProtection="1">
      <alignment horizontal="left" vertical="top"/>
    </xf>
    <xf numFmtId="0" fontId="5" fillId="0" borderId="14" xfId="0" applyFont="1" applyFill="1" applyBorder="1" applyAlignment="1" applyProtection="1">
      <alignment horizontal="center" vertical="top"/>
    </xf>
    <xf numFmtId="3" fontId="5" fillId="0" borderId="14" xfId="0" applyNumberFormat="1" applyFont="1" applyFill="1" applyBorder="1" applyAlignment="1" applyProtection="1">
      <alignment horizontal="right" vertical="top"/>
    </xf>
    <xf numFmtId="173" fontId="71" fillId="0" borderId="15" xfId="5" applyNumberFormat="1" applyFont="1" applyFill="1" applyBorder="1" applyAlignment="1" applyProtection="1">
      <alignment horizontal="right" vertical="top"/>
      <protection locked="0"/>
    </xf>
    <xf numFmtId="181" fontId="71" fillId="0" borderId="15" xfId="5" applyNumberFormat="1" applyFont="1" applyFill="1" applyBorder="1" applyAlignment="1" applyProtection="1">
      <alignment horizontal="right" vertical="top"/>
    </xf>
    <xf numFmtId="182" fontId="6" fillId="0" borderId="63" xfId="5" applyNumberFormat="1" applyFont="1" applyFill="1" applyBorder="1" applyAlignment="1" applyProtection="1">
      <alignment horizontal="right" vertical="top"/>
    </xf>
    <xf numFmtId="0" fontId="5" fillId="0" borderId="64" xfId="0" applyFont="1" applyFill="1" applyBorder="1" applyAlignment="1">
      <alignment vertical="top" wrapText="1"/>
    </xf>
    <xf numFmtId="0" fontId="6" fillId="0" borderId="0" xfId="0" applyFont="1" applyFill="1" applyBorder="1" applyAlignment="1">
      <alignment horizontal="left" vertical="top" wrapText="1"/>
    </xf>
    <xf numFmtId="173" fontId="5" fillId="0" borderId="0" xfId="0" applyNumberFormat="1" applyFont="1" applyFill="1" applyAlignment="1" applyProtection="1">
      <alignment horizontal="right" vertical="top"/>
    </xf>
    <xf numFmtId="173" fontId="5" fillId="0" borderId="0" xfId="0" applyNumberFormat="1" applyFont="1" applyFill="1" applyAlignment="1" applyProtection="1">
      <alignment horizontal="center" vertical="top" wrapText="1"/>
    </xf>
    <xf numFmtId="173" fontId="5" fillId="0" borderId="0" xfId="0" applyNumberFormat="1" applyFont="1" applyFill="1" applyAlignment="1" applyProtection="1">
      <alignment horizontal="center" vertical="top"/>
    </xf>
    <xf numFmtId="3" fontId="5" fillId="0" borderId="65" xfId="0" applyNumberFormat="1" applyFont="1" applyFill="1" applyBorder="1" applyAlignment="1" applyProtection="1">
      <alignment vertical="top"/>
    </xf>
    <xf numFmtId="0" fontId="5" fillId="0" borderId="15" xfId="0" applyFont="1" applyFill="1" applyBorder="1" applyAlignment="1" applyProtection="1">
      <alignment horizontal="center" vertical="top"/>
    </xf>
    <xf numFmtId="173" fontId="5" fillId="0" borderId="15" xfId="5" applyNumberFormat="1" applyFont="1" applyFill="1" applyBorder="1" applyAlignment="1" applyProtection="1">
      <alignment horizontal="right" vertical="top"/>
      <protection locked="0"/>
    </xf>
    <xf numFmtId="181" fontId="72" fillId="0" borderId="15" xfId="5" applyNumberFormat="1" applyFont="1" applyFill="1" applyBorder="1" applyAlignment="1" applyProtection="1">
      <alignment horizontal="right" vertical="top"/>
    </xf>
    <xf numFmtId="173" fontId="6" fillId="0" borderId="0" xfId="0" applyNumberFormat="1" applyFont="1" applyFill="1" applyAlignment="1" applyProtection="1">
      <alignment horizontal="center" vertical="top"/>
    </xf>
    <xf numFmtId="49" fontId="5" fillId="0" borderId="15" xfId="6" applyNumberFormat="1" applyFont="1" applyFill="1" applyBorder="1" applyAlignment="1">
      <alignment horizontal="left" vertical="top" wrapText="1"/>
    </xf>
    <xf numFmtId="0" fontId="5" fillId="0" borderId="15" xfId="6" applyFont="1" applyFill="1" applyBorder="1" applyAlignment="1">
      <alignment horizontal="left" vertical="top" wrapText="1"/>
    </xf>
    <xf numFmtId="173" fontId="72" fillId="0" borderId="15" xfId="5" applyNumberFormat="1" applyFont="1" applyFill="1" applyBorder="1" applyAlignment="1" applyProtection="1">
      <alignment horizontal="right" vertical="top"/>
      <protection locked="0"/>
    </xf>
    <xf numFmtId="182" fontId="5" fillId="0" borderId="63" xfId="5" applyNumberFormat="1" applyFont="1" applyFill="1" applyBorder="1" applyAlignment="1" applyProtection="1">
      <alignment horizontal="right" vertical="top"/>
    </xf>
    <xf numFmtId="0" fontId="5" fillId="0" borderId="64" xfId="0" applyFont="1" applyFill="1" applyBorder="1" applyAlignment="1" applyProtection="1">
      <alignment vertical="top" wrapText="1"/>
      <protection locked="0"/>
    </xf>
    <xf numFmtId="3" fontId="5" fillId="0" borderId="65" xfId="0" applyNumberFormat="1" applyFont="1" applyFill="1" applyBorder="1" applyAlignment="1" applyProtection="1">
      <alignment horizontal="right" vertical="top"/>
    </xf>
    <xf numFmtId="43" fontId="5" fillId="0" borderId="15" xfId="16" applyFont="1" applyFill="1" applyBorder="1" applyAlignment="1">
      <alignment horizontal="center" vertical="top"/>
    </xf>
    <xf numFmtId="181" fontId="5" fillId="0" borderId="15" xfId="5" applyNumberFormat="1" applyFont="1" applyFill="1" applyBorder="1" applyAlignment="1" applyProtection="1">
      <alignment horizontal="right" vertical="top"/>
    </xf>
    <xf numFmtId="0" fontId="6" fillId="0" borderId="15" xfId="6" applyFont="1" applyFill="1" applyBorder="1" applyAlignment="1">
      <alignment horizontal="left" vertical="top" wrapText="1"/>
    </xf>
    <xf numFmtId="173" fontId="5" fillId="0" borderId="0" xfId="0" applyNumberFormat="1" applyFont="1" applyFill="1" applyAlignment="1" applyProtection="1">
      <alignment horizontal="left" vertical="top"/>
    </xf>
    <xf numFmtId="169" fontId="5" fillId="0" borderId="15" xfId="0" applyNumberFormat="1" applyFont="1" applyFill="1" applyBorder="1" applyAlignment="1" applyProtection="1">
      <alignment horizontal="center" vertical="top"/>
    </xf>
    <xf numFmtId="173" fontId="71" fillId="0" borderId="62" xfId="5" applyNumberFormat="1" applyFont="1" applyFill="1" applyBorder="1" applyAlignment="1" applyProtection="1">
      <alignment horizontal="right" vertical="top"/>
      <protection locked="0"/>
    </xf>
    <xf numFmtId="0" fontId="5" fillId="0" borderId="64" xfId="0" applyFont="1" applyFill="1" applyBorder="1" applyAlignment="1" applyProtection="1">
      <alignment vertical="top"/>
      <protection locked="0"/>
    </xf>
    <xf numFmtId="0" fontId="6" fillId="0" borderId="15" xfId="0" applyFont="1" applyFill="1" applyBorder="1" applyAlignment="1" applyProtection="1">
      <alignment vertical="top"/>
    </xf>
    <xf numFmtId="169" fontId="6" fillId="0" borderId="15" xfId="0" applyNumberFormat="1" applyFont="1" applyFill="1" applyBorder="1" applyAlignment="1" applyProtection="1">
      <alignment horizontal="left" vertical="top"/>
    </xf>
    <xf numFmtId="0" fontId="5" fillId="6" borderId="0" xfId="0" applyFont="1" applyFill="1" applyBorder="1" applyAlignment="1" applyProtection="1">
      <alignment horizontal="left" vertical="top"/>
      <protection locked="0"/>
    </xf>
    <xf numFmtId="43" fontId="5" fillId="0" borderId="14" xfId="16" applyFont="1" applyFill="1" applyBorder="1" applyAlignment="1">
      <alignment horizontal="center" vertical="top"/>
    </xf>
    <xf numFmtId="169" fontId="5" fillId="0" borderId="14" xfId="0" applyNumberFormat="1" applyFont="1" applyFill="1" applyBorder="1" applyAlignment="1" applyProtection="1">
      <alignment horizontal="center" vertical="top"/>
    </xf>
    <xf numFmtId="3" fontId="5" fillId="0" borderId="71" xfId="0" applyNumberFormat="1" applyFont="1" applyFill="1" applyBorder="1" applyAlignment="1" applyProtection="1">
      <alignment horizontal="right" vertical="top"/>
    </xf>
    <xf numFmtId="0" fontId="5" fillId="0" borderId="74" xfId="0" applyFont="1" applyFill="1" applyBorder="1" applyAlignment="1" applyProtection="1">
      <alignment vertical="top"/>
      <protection locked="0"/>
    </xf>
    <xf numFmtId="169" fontId="5" fillId="0" borderId="15" xfId="0" applyNumberFormat="1" applyFont="1" applyFill="1" applyBorder="1" applyAlignment="1" applyProtection="1">
      <alignment horizontal="left" vertical="top"/>
    </xf>
    <xf numFmtId="181" fontId="5" fillId="0" borderId="72" xfId="5" applyNumberFormat="1" applyFont="1" applyFill="1" applyBorder="1" applyAlignment="1" applyProtection="1">
      <alignment horizontal="right" vertical="top"/>
    </xf>
    <xf numFmtId="182" fontId="5" fillId="0" borderId="73" xfId="5" applyNumberFormat="1" applyFont="1" applyFill="1" applyBorder="1" applyAlignment="1" applyProtection="1">
      <alignment horizontal="right" vertical="top"/>
    </xf>
    <xf numFmtId="0" fontId="5" fillId="0" borderId="0" xfId="0" applyFont="1" applyFill="1" applyBorder="1" applyAlignment="1" applyProtection="1">
      <alignment horizontal="left" vertical="top" wrapText="1"/>
      <protection locked="0"/>
    </xf>
    <xf numFmtId="0" fontId="5" fillId="0" borderId="0" xfId="0" applyFont="1" applyFill="1" applyBorder="1" applyAlignment="1" applyProtection="1">
      <alignment horizontal="center" vertical="top"/>
    </xf>
    <xf numFmtId="0" fontId="5" fillId="0" borderId="72" xfId="6" applyFont="1" applyFill="1" applyBorder="1" applyAlignment="1">
      <alignment vertical="top"/>
    </xf>
    <xf numFmtId="9" fontId="5" fillId="0" borderId="72" xfId="16" applyNumberFormat="1" applyFont="1" applyFill="1" applyBorder="1" applyAlignment="1">
      <alignment horizontal="center" vertical="top"/>
    </xf>
    <xf numFmtId="0" fontId="6" fillId="0" borderId="1" xfId="0" applyFont="1" applyFill="1" applyBorder="1" applyAlignment="1" applyProtection="1">
      <alignment horizontal="right" vertical="top"/>
    </xf>
    <xf numFmtId="0" fontId="6" fillId="0" borderId="7" xfId="0" applyFont="1" applyFill="1" applyBorder="1" applyAlignment="1" applyProtection="1">
      <alignment vertical="top"/>
    </xf>
    <xf numFmtId="0" fontId="72" fillId="0" borderId="38" xfId="0" applyFont="1" applyFill="1" applyBorder="1" applyAlignment="1" applyProtection="1">
      <alignment horizontal="left" vertical="top"/>
    </xf>
    <xf numFmtId="0" fontId="6" fillId="0" borderId="38" xfId="0" applyFont="1" applyFill="1" applyBorder="1" applyAlignment="1" applyProtection="1">
      <alignment horizontal="center" vertical="top"/>
    </xf>
    <xf numFmtId="0" fontId="6" fillId="0" borderId="38" xfId="0" applyFont="1" applyFill="1" applyBorder="1" applyAlignment="1" applyProtection="1">
      <alignment horizontal="left" vertical="top"/>
    </xf>
    <xf numFmtId="181" fontId="6" fillId="0" borderId="7" xfId="5" applyNumberFormat="1" applyFont="1" applyFill="1" applyBorder="1" applyAlignment="1" applyProtection="1">
      <alignment horizontal="right" vertical="top"/>
    </xf>
    <xf numFmtId="0" fontId="6" fillId="0" borderId="37" xfId="0" applyFont="1" applyFill="1" applyBorder="1" applyAlignment="1" applyProtection="1">
      <alignment horizontal="right" vertical="top"/>
    </xf>
    <xf numFmtId="0" fontId="6" fillId="0" borderId="36" xfId="0" applyFont="1" applyFill="1" applyBorder="1" applyAlignment="1" applyProtection="1">
      <alignment vertical="top"/>
    </xf>
    <xf numFmtId="181" fontId="6" fillId="0" borderId="36" xfId="5" applyNumberFormat="1" applyFont="1" applyFill="1" applyBorder="1" applyAlignment="1" applyProtection="1">
      <alignment horizontal="right" vertical="top"/>
    </xf>
    <xf numFmtId="181" fontId="5" fillId="0" borderId="36" xfId="5" applyNumberFormat="1" applyFont="1" applyFill="1" applyBorder="1" applyAlignment="1" applyProtection="1">
      <alignment horizontal="right" vertical="top"/>
    </xf>
    <xf numFmtId="182" fontId="5" fillId="0" borderId="76" xfId="5" applyNumberFormat="1" applyFont="1" applyFill="1" applyBorder="1" applyAlignment="1" applyProtection="1">
      <alignment horizontal="right" vertical="top"/>
    </xf>
    <xf numFmtId="0" fontId="5" fillId="0" borderId="77" xfId="0" applyFont="1" applyFill="1" applyBorder="1" applyAlignment="1" applyProtection="1">
      <alignment vertical="top"/>
      <protection locked="0"/>
    </xf>
    <xf numFmtId="0" fontId="5" fillId="0" borderId="0" xfId="0" applyFont="1" applyFill="1" applyAlignment="1" applyProtection="1">
      <alignment horizontal="right" vertical="top"/>
    </xf>
    <xf numFmtId="169" fontId="5" fillId="0" borderId="4" xfId="0" applyNumberFormat="1" applyFont="1" applyFill="1" applyBorder="1" applyAlignment="1" applyProtection="1">
      <alignment horizontal="left" vertical="top"/>
      <protection locked="0"/>
    </xf>
    <xf numFmtId="3" fontId="5" fillId="0" borderId="0" xfId="0" applyNumberFormat="1" applyFont="1" applyFill="1" applyBorder="1" applyAlignment="1" applyProtection="1">
      <alignment horizontal="right" vertical="top"/>
      <protection locked="0"/>
    </xf>
    <xf numFmtId="169" fontId="5" fillId="0" borderId="0" xfId="0" applyNumberFormat="1" applyFont="1" applyFill="1" applyBorder="1" applyAlignment="1" applyProtection="1">
      <alignment horizontal="center" vertical="top"/>
      <protection locked="0"/>
    </xf>
    <xf numFmtId="173" fontId="5" fillId="0" borderId="0" xfId="5" applyNumberFormat="1" applyFont="1" applyFill="1" applyBorder="1" applyAlignment="1" applyProtection="1">
      <alignment horizontal="right" vertical="top"/>
      <protection locked="0"/>
    </xf>
    <xf numFmtId="181" fontId="5" fillId="0" borderId="0" xfId="5" applyNumberFormat="1" applyFont="1" applyFill="1" applyBorder="1" applyAlignment="1" applyProtection="1">
      <alignment horizontal="right" vertical="top"/>
      <protection locked="0"/>
    </xf>
    <xf numFmtId="173" fontId="75" fillId="0" borderId="0" xfId="5" applyNumberFormat="1" applyFont="1" applyFill="1" applyBorder="1" applyAlignment="1" applyProtection="1">
      <alignment horizontal="right" vertical="top"/>
      <protection locked="0"/>
    </xf>
    <xf numFmtId="182" fontId="5" fillId="0" borderId="0" xfId="5" applyNumberFormat="1" applyFont="1" applyFill="1" applyBorder="1" applyAlignment="1" applyProtection="1">
      <alignment horizontal="right" vertical="top"/>
      <protection locked="0"/>
    </xf>
    <xf numFmtId="0" fontId="6" fillId="0" borderId="4" xfId="0" applyFont="1" applyFill="1" applyBorder="1" applyAlignment="1" applyProtection="1">
      <alignment vertical="top"/>
    </xf>
    <xf numFmtId="3" fontId="5" fillId="0" borderId="0" xfId="0" applyNumberFormat="1" applyFont="1" applyFill="1" applyBorder="1" applyAlignment="1" applyProtection="1">
      <alignment vertical="top"/>
    </xf>
    <xf numFmtId="3" fontId="75" fillId="0" borderId="0" xfId="0" applyNumberFormat="1" applyFont="1" applyFill="1" applyBorder="1" applyAlignment="1" applyProtection="1">
      <alignment vertical="top"/>
    </xf>
    <xf numFmtId="0" fontId="75" fillId="0" borderId="0" xfId="0" applyFont="1" applyFill="1" applyAlignment="1" applyProtection="1">
      <alignment vertical="top"/>
    </xf>
    <xf numFmtId="0" fontId="5" fillId="0" borderId="0" xfId="0" applyFont="1" applyFill="1" applyBorder="1" applyAlignment="1" applyProtection="1">
      <alignment horizontal="center" vertical="top"/>
      <protection locked="0"/>
    </xf>
    <xf numFmtId="173" fontId="5" fillId="0" borderId="0" xfId="0" applyNumberFormat="1" applyFont="1" applyFill="1" applyBorder="1" applyAlignment="1" applyProtection="1">
      <alignment horizontal="center" vertical="top"/>
      <protection locked="0"/>
    </xf>
    <xf numFmtId="0" fontId="75" fillId="0" borderId="0" xfId="0" applyFont="1" applyFill="1" applyAlignment="1" applyProtection="1">
      <alignment horizontal="right" vertical="top"/>
    </xf>
    <xf numFmtId="173" fontId="5" fillId="0" borderId="0" xfId="0" applyNumberFormat="1" applyFont="1" applyFill="1" applyAlignment="1" applyProtection="1">
      <alignment vertical="top"/>
    </xf>
    <xf numFmtId="0" fontId="78" fillId="0" borderId="0" xfId="0" applyFont="1" applyFill="1" applyBorder="1" applyAlignment="1" applyProtection="1">
      <alignment horizontal="left" vertical="top"/>
      <protection locked="0"/>
    </xf>
    <xf numFmtId="0" fontId="5" fillId="0" borderId="15" xfId="6" quotePrefix="1" applyFont="1" applyFill="1" applyBorder="1" applyAlignment="1">
      <alignment horizontal="right" vertical="top"/>
    </xf>
    <xf numFmtId="169" fontId="5" fillId="0" borderId="15" xfId="6" quotePrefix="1" applyNumberFormat="1" applyFont="1" applyFill="1" applyBorder="1" applyAlignment="1">
      <alignment horizontal="right" vertical="top"/>
    </xf>
    <xf numFmtId="0" fontId="5" fillId="0" borderId="15" xfId="6" applyFont="1" applyFill="1" applyBorder="1" applyAlignment="1">
      <alignment horizontal="left" vertical="top" wrapText="1" indent="1"/>
    </xf>
    <xf numFmtId="14" fontId="54" fillId="0" borderId="0" xfId="0" applyNumberFormat="1" applyFont="1" applyFill="1" applyBorder="1" applyAlignment="1" applyProtection="1">
      <alignment horizontal="right" vertical="top"/>
      <protection locked="0"/>
    </xf>
    <xf numFmtId="0" fontId="72" fillId="0" borderId="15" xfId="6" applyFont="1" applyFill="1" applyBorder="1" applyAlignment="1">
      <alignment horizontal="left" vertical="top" wrapText="1"/>
    </xf>
    <xf numFmtId="14" fontId="54" fillId="0" borderId="0" xfId="0" applyNumberFormat="1" applyFont="1" applyFill="1" applyAlignment="1" applyProtection="1">
      <alignment vertical="top"/>
    </xf>
    <xf numFmtId="14" fontId="54" fillId="0" borderId="0" xfId="0" applyNumberFormat="1" applyFont="1" applyAlignment="1">
      <alignment vertical="top"/>
    </xf>
    <xf numFmtId="14" fontId="6" fillId="0" borderId="89" xfId="5" applyNumberFormat="1" applyFont="1" applyFill="1" applyBorder="1" applyAlignment="1" applyProtection="1">
      <alignment horizontal="right" vertical="top"/>
    </xf>
    <xf numFmtId="14" fontId="5" fillId="0" borderId="0" xfId="5" applyNumberFormat="1" applyFont="1" applyFill="1" applyBorder="1" applyAlignment="1" applyProtection="1">
      <alignment horizontal="right" vertical="top"/>
      <protection locked="0"/>
    </xf>
    <xf numFmtId="14" fontId="5" fillId="0" borderId="0" xfId="0" applyNumberFormat="1" applyFont="1" applyFill="1" applyBorder="1" applyAlignment="1" applyProtection="1">
      <alignment vertical="top"/>
    </xf>
    <xf numFmtId="14" fontId="5" fillId="0" borderId="0" xfId="0" applyNumberFormat="1" applyFont="1" applyFill="1" applyAlignment="1" applyProtection="1">
      <alignment vertical="top"/>
    </xf>
    <xf numFmtId="0" fontId="30" fillId="2" borderId="7" xfId="0" applyFont="1" applyFill="1" applyBorder="1" applyAlignment="1" applyProtection="1">
      <alignment horizontal="right" vertical="top" wrapText="1"/>
    </xf>
    <xf numFmtId="0" fontId="30" fillId="2" borderId="36" xfId="0" applyFont="1" applyFill="1" applyBorder="1" applyAlignment="1" applyProtection="1">
      <alignment horizontal="center" vertical="top" wrapText="1"/>
    </xf>
    <xf numFmtId="0" fontId="5" fillId="0" borderId="36" xfId="0" applyFont="1" applyBorder="1" applyAlignment="1">
      <alignment horizontal="center" vertical="top" wrapText="1"/>
    </xf>
    <xf numFmtId="0" fontId="6" fillId="0" borderId="36" xfId="0" applyFont="1" applyFill="1" applyBorder="1" applyAlignment="1" applyProtection="1">
      <alignment horizontal="right" vertical="top"/>
    </xf>
    <xf numFmtId="0" fontId="0" fillId="0" borderId="0" xfId="0" applyAlignment="1">
      <alignment wrapText="1"/>
    </xf>
    <xf numFmtId="0" fontId="83" fillId="0" borderId="0" xfId="0" applyFont="1"/>
    <xf numFmtId="0" fontId="81" fillId="0" borderId="36" xfId="0" applyFont="1" applyBorder="1" applyAlignment="1">
      <alignment horizontal="left" vertical="center" wrapText="1"/>
    </xf>
    <xf numFmtId="0" fontId="0" fillId="0" borderId="36" xfId="0" applyBorder="1"/>
    <xf numFmtId="0" fontId="3" fillId="0" borderId="36" xfId="0" applyFont="1" applyBorder="1" applyAlignment="1">
      <alignment wrapText="1"/>
    </xf>
    <xf numFmtId="0" fontId="81" fillId="0" borderId="36" xfId="0" applyFont="1" applyBorder="1" applyAlignment="1">
      <alignment vertical="center" wrapText="1"/>
    </xf>
    <xf numFmtId="14" fontId="30" fillId="2" borderId="7" xfId="0" applyNumberFormat="1" applyFont="1" applyFill="1" applyBorder="1" applyAlignment="1" applyProtection="1">
      <alignment horizontal="center" vertical="top" wrapText="1"/>
    </xf>
    <xf numFmtId="181" fontId="72" fillId="0" borderId="15" xfId="5" applyNumberFormat="1" applyFont="1" applyFill="1" applyBorder="1" applyAlignment="1" applyProtection="1">
      <alignment horizontal="center" vertical="top"/>
    </xf>
    <xf numFmtId="173" fontId="71" fillId="0" borderId="15" xfId="5" applyNumberFormat="1" applyFont="1" applyFill="1" applyBorder="1" applyAlignment="1" applyProtection="1">
      <alignment horizontal="center" vertical="top"/>
      <protection locked="0"/>
    </xf>
    <xf numFmtId="182" fontId="6" fillId="0" borderId="63" xfId="5" applyNumberFormat="1" applyFont="1" applyFill="1" applyBorder="1" applyAlignment="1" applyProtection="1">
      <alignment horizontal="center" vertical="top"/>
    </xf>
    <xf numFmtId="14" fontId="6" fillId="0" borderId="89" xfId="5" applyNumberFormat="1" applyFont="1" applyFill="1" applyBorder="1" applyAlignment="1" applyProtection="1">
      <alignment horizontal="center" vertical="top"/>
    </xf>
    <xf numFmtId="181" fontId="71" fillId="0" borderId="15" xfId="5" applyNumberFormat="1" applyFont="1" applyFill="1" applyBorder="1" applyAlignment="1" applyProtection="1">
      <alignment horizontal="center" vertical="top"/>
    </xf>
    <xf numFmtId="181" fontId="5" fillId="0" borderId="15" xfId="5" applyNumberFormat="1" applyFont="1" applyFill="1" applyBorder="1" applyAlignment="1" applyProtection="1">
      <alignment horizontal="center" vertical="top"/>
    </xf>
    <xf numFmtId="173" fontId="72" fillId="0" borderId="15" xfId="5" applyNumberFormat="1" applyFont="1" applyFill="1" applyBorder="1" applyAlignment="1" applyProtection="1">
      <alignment horizontal="center" vertical="top"/>
      <protection locked="0"/>
    </xf>
    <xf numFmtId="182" fontId="5" fillId="0" borderId="63" xfId="5" applyNumberFormat="1" applyFont="1" applyFill="1" applyBorder="1" applyAlignment="1" applyProtection="1">
      <alignment horizontal="center" vertical="top"/>
    </xf>
    <xf numFmtId="14" fontId="5" fillId="0" borderId="89" xfId="5" applyNumberFormat="1" applyFont="1" applyFill="1" applyBorder="1" applyAlignment="1" applyProtection="1">
      <alignment horizontal="center" vertical="top"/>
    </xf>
    <xf numFmtId="173" fontId="71" fillId="0" borderId="62" xfId="5" applyNumberFormat="1" applyFont="1" applyFill="1" applyBorder="1" applyAlignment="1" applyProtection="1">
      <alignment horizontal="center" vertical="top"/>
      <protection locked="0"/>
    </xf>
    <xf numFmtId="181" fontId="5" fillId="0" borderId="72" xfId="5" applyNumberFormat="1" applyFont="1" applyFill="1" applyBorder="1" applyAlignment="1" applyProtection="1">
      <alignment horizontal="center" vertical="top"/>
    </xf>
    <xf numFmtId="182" fontId="5" fillId="0" borderId="73" xfId="5" applyNumberFormat="1" applyFont="1" applyFill="1" applyBorder="1" applyAlignment="1" applyProtection="1">
      <alignment horizontal="center" vertical="top"/>
    </xf>
    <xf numFmtId="14" fontId="5" fillId="0" borderId="90" xfId="5" applyNumberFormat="1" applyFont="1" applyFill="1" applyBorder="1" applyAlignment="1" applyProtection="1">
      <alignment horizontal="center" vertical="top"/>
    </xf>
    <xf numFmtId="181" fontId="6" fillId="0" borderId="36" xfId="5" applyNumberFormat="1" applyFont="1" applyFill="1" applyBorder="1" applyAlignment="1" applyProtection="1">
      <alignment horizontal="center" vertical="top"/>
    </xf>
    <xf numFmtId="181" fontId="5" fillId="0" borderId="36" xfId="5" applyNumberFormat="1" applyFont="1" applyFill="1" applyBorder="1" applyAlignment="1" applyProtection="1">
      <alignment horizontal="center" vertical="top"/>
    </xf>
    <xf numFmtId="182" fontId="5" fillId="0" borderId="36" xfId="5" applyNumberFormat="1" applyFont="1" applyFill="1" applyBorder="1" applyAlignment="1" applyProtection="1">
      <alignment horizontal="center" vertical="top"/>
    </xf>
    <xf numFmtId="14" fontId="5" fillId="0" borderId="36" xfId="5" applyNumberFormat="1" applyFont="1" applyFill="1" applyBorder="1" applyAlignment="1" applyProtection="1">
      <alignment horizontal="center" vertical="top"/>
    </xf>
    <xf numFmtId="0" fontId="30" fillId="2" borderId="7" xfId="0" applyFont="1" applyFill="1" applyBorder="1" applyAlignment="1" applyProtection="1">
      <alignment horizontal="left" vertical="top"/>
    </xf>
    <xf numFmtId="0" fontId="0" fillId="0" borderId="36" xfId="0" applyBorder="1" applyAlignment="1">
      <alignment horizontal="center" vertical="center"/>
    </xf>
    <xf numFmtId="0" fontId="30" fillId="2" borderId="7" xfId="0" applyFont="1" applyFill="1" applyBorder="1" applyAlignment="1" applyProtection="1">
      <alignment horizontal="center" vertical="top" wrapText="1"/>
    </xf>
    <xf numFmtId="0" fontId="81" fillId="0" borderId="0" xfId="0" applyFont="1" applyBorder="1" applyAlignment="1">
      <alignment vertical="center" wrapText="1"/>
    </xf>
    <xf numFmtId="0" fontId="0" fillId="0" borderId="0" xfId="0" applyBorder="1" applyAlignment="1">
      <alignment horizontal="center" vertical="center"/>
    </xf>
    <xf numFmtId="0" fontId="0" fillId="0" borderId="0" xfId="0" applyBorder="1"/>
    <xf numFmtId="0" fontId="43" fillId="0" borderId="36" xfId="0" applyFont="1" applyBorder="1" applyAlignment="1">
      <alignment wrapText="1"/>
    </xf>
    <xf numFmtId="0" fontId="30" fillId="2" borderId="7" xfId="0" applyFont="1" applyFill="1" applyBorder="1" applyAlignment="1" applyProtection="1">
      <alignment horizontal="center" vertical="top"/>
    </xf>
    <xf numFmtId="190" fontId="5" fillId="0" borderId="15" xfId="5" applyNumberFormat="1" applyFont="1" applyFill="1" applyBorder="1" applyAlignment="1" applyProtection="1">
      <alignment horizontal="right" vertical="top"/>
      <protection locked="0"/>
    </xf>
    <xf numFmtId="190" fontId="71" fillId="0" borderId="15" xfId="5" applyNumberFormat="1" applyFont="1" applyFill="1" applyBorder="1" applyAlignment="1" applyProtection="1">
      <alignment horizontal="right" vertical="top"/>
      <protection locked="0"/>
    </xf>
    <xf numFmtId="190" fontId="5" fillId="0" borderId="72" xfId="0" applyNumberFormat="1" applyFont="1" applyFill="1" applyBorder="1" applyAlignment="1" applyProtection="1">
      <alignment vertical="top"/>
      <protection locked="0"/>
    </xf>
    <xf numFmtId="190" fontId="6" fillId="0" borderId="36" xfId="5" applyNumberFormat="1" applyFont="1" applyFill="1" applyBorder="1" applyAlignment="1" applyProtection="1">
      <alignment horizontal="right" vertical="top"/>
    </xf>
    <xf numFmtId="0" fontId="6" fillId="0" borderId="15" xfId="6" quotePrefix="1" applyFont="1" applyFill="1" applyBorder="1" applyAlignment="1">
      <alignment horizontal="right" vertical="top"/>
    </xf>
    <xf numFmtId="44" fontId="54" fillId="0" borderId="0" xfId="0" applyNumberFormat="1" applyFont="1" applyFill="1" applyAlignment="1" applyProtection="1">
      <alignment vertical="top"/>
    </xf>
    <xf numFmtId="44" fontId="54" fillId="0" borderId="0" xfId="0" applyNumberFormat="1" applyFont="1" applyAlignment="1">
      <alignment vertical="top"/>
    </xf>
    <xf numFmtId="44" fontId="5" fillId="0" borderId="15" xfId="5" applyNumberFormat="1" applyFont="1" applyFill="1" applyBorder="1" applyAlignment="1" applyProtection="1">
      <alignment horizontal="right" vertical="top"/>
      <protection locked="0"/>
    </xf>
    <xf numFmtId="44" fontId="5" fillId="0" borderId="15" xfId="5" applyNumberFormat="1" applyFont="1" applyFill="1" applyBorder="1" applyAlignment="1" applyProtection="1">
      <alignment horizontal="center" vertical="top"/>
      <protection locked="0"/>
    </xf>
    <xf numFmtId="44" fontId="71" fillId="0" borderId="15" xfId="5" applyNumberFormat="1" applyFont="1" applyFill="1" applyBorder="1" applyAlignment="1" applyProtection="1">
      <alignment horizontal="center" vertical="top"/>
      <protection locked="0"/>
    </xf>
    <xf numFmtId="44" fontId="5" fillId="0" borderId="72" xfId="0" applyNumberFormat="1" applyFont="1" applyFill="1" applyBorder="1" applyAlignment="1" applyProtection="1">
      <alignment horizontal="center" vertical="top"/>
      <protection locked="0"/>
    </xf>
    <xf numFmtId="44" fontId="6" fillId="0" borderId="36" xfId="5" applyNumberFormat="1" applyFont="1" applyFill="1" applyBorder="1" applyAlignment="1" applyProtection="1">
      <alignment horizontal="center" vertical="top"/>
    </xf>
    <xf numFmtId="44" fontId="5" fillId="0" borderId="0" xfId="5" applyNumberFormat="1" applyFont="1" applyFill="1" applyBorder="1" applyAlignment="1" applyProtection="1">
      <alignment horizontal="right" vertical="top"/>
      <protection locked="0"/>
    </xf>
    <xf numFmtId="44" fontId="52" fillId="0" borderId="0" xfId="0" applyNumberFormat="1" applyFont="1" applyFill="1" applyBorder="1" applyAlignment="1" applyProtection="1">
      <alignment vertical="top"/>
    </xf>
    <xf numFmtId="44" fontId="5" fillId="0" borderId="0" xfId="0" applyNumberFormat="1" applyFont="1" applyFill="1" applyAlignment="1" applyProtection="1">
      <alignment vertical="top"/>
    </xf>
    <xf numFmtId="9" fontId="5" fillId="0" borderId="64" xfId="0" applyNumberFormat="1" applyFont="1" applyFill="1" applyBorder="1" applyAlignment="1">
      <alignment vertical="top" wrapText="1"/>
    </xf>
    <xf numFmtId="0" fontId="5" fillId="0" borderId="15" xfId="0" applyFont="1" applyFill="1" applyBorder="1" applyAlignment="1" applyProtection="1">
      <alignment horizontal="left" vertical="top" wrapText="1"/>
    </xf>
    <xf numFmtId="44" fontId="5" fillId="0" borderId="89" xfId="5" applyNumberFormat="1" applyFont="1" applyFill="1" applyBorder="1" applyAlignment="1" applyProtection="1">
      <alignment horizontal="center" vertical="top"/>
    </xf>
    <xf numFmtId="9" fontId="5" fillId="0" borderId="36" xfId="0" applyNumberFormat="1" applyFont="1" applyFill="1" applyBorder="1" applyAlignment="1" applyProtection="1">
      <alignment vertical="top"/>
      <protection locked="0"/>
    </xf>
    <xf numFmtId="0" fontId="82" fillId="0" borderId="0" xfId="0" applyFont="1"/>
    <xf numFmtId="0" fontId="3" fillId="0" borderId="0" xfId="0" applyFont="1"/>
    <xf numFmtId="0" fontId="83" fillId="0" borderId="0" xfId="0" applyFont="1" applyBorder="1"/>
    <xf numFmtId="0" fontId="3" fillId="0" borderId="0" xfId="0" applyFont="1" applyAlignment="1">
      <alignment horizontal="right"/>
    </xf>
    <xf numFmtId="0" fontId="0" fillId="0" borderId="10" xfId="0" applyBorder="1"/>
    <xf numFmtId="0" fontId="84" fillId="0" borderId="0" xfId="0" applyFont="1" applyFill="1" applyBorder="1" applyAlignment="1" applyProtection="1">
      <alignment horizontal="left" vertical="top"/>
      <protection locked="0"/>
    </xf>
    <xf numFmtId="0" fontId="5" fillId="0" borderId="0" xfId="13" applyFont="1" applyAlignment="1">
      <alignment horizontal="left" vertical="top" wrapText="1"/>
    </xf>
    <xf numFmtId="0" fontId="3" fillId="0" borderId="0" xfId="13" applyAlignment="1">
      <alignment vertical="top" wrapText="1"/>
    </xf>
    <xf numFmtId="0" fontId="5" fillId="0" borderId="0" xfId="13" applyFont="1" applyFill="1" applyBorder="1" applyAlignment="1">
      <alignment horizontal="left" vertical="top"/>
    </xf>
    <xf numFmtId="0" fontId="26" fillId="2" borderId="7" xfId="0" applyFont="1" applyFill="1" applyBorder="1" applyAlignment="1">
      <alignment horizontal="center" vertical="top" wrapText="1"/>
    </xf>
    <xf numFmtId="0" fontId="26" fillId="2" borderId="8" xfId="0" applyFont="1" applyFill="1" applyBorder="1" applyAlignment="1">
      <alignment horizontal="center" vertical="top" wrapText="1"/>
    </xf>
    <xf numFmtId="0" fontId="26" fillId="2" borderId="2" xfId="0" applyFont="1" applyFill="1" applyBorder="1" applyAlignment="1">
      <alignment horizontal="center" vertical="top" wrapText="1"/>
    </xf>
    <xf numFmtId="0" fontId="26" fillId="2" borderId="4" xfId="0" applyFont="1" applyFill="1" applyBorder="1" applyAlignment="1">
      <alignment horizontal="center" vertical="top" wrapText="1"/>
    </xf>
    <xf numFmtId="174" fontId="10" fillId="0" borderId="41" xfId="9" applyNumberFormat="1" applyFont="1" applyFill="1" applyBorder="1" applyAlignment="1">
      <alignment horizontal="center" vertical="top"/>
    </xf>
    <xf numFmtId="174" fontId="10" fillId="0" borderId="0" xfId="9" applyNumberFormat="1" applyFont="1" applyFill="1" applyBorder="1" applyAlignment="1">
      <alignment horizontal="center" vertical="top"/>
    </xf>
    <xf numFmtId="174" fontId="10" fillId="0" borderId="40" xfId="9" applyNumberFormat="1" applyFont="1" applyFill="1" applyBorder="1" applyAlignment="1">
      <alignment horizontal="center" vertical="top"/>
    </xf>
    <xf numFmtId="0" fontId="10" fillId="0" borderId="27" xfId="6" applyFont="1" applyFill="1" applyBorder="1" applyAlignment="1">
      <alignment horizontal="left" vertical="top" wrapText="1"/>
    </xf>
    <xf numFmtId="179" fontId="5" fillId="0" borderId="0" xfId="0" applyNumberFormat="1" applyFont="1" applyAlignment="1">
      <alignment horizontal="center"/>
    </xf>
    <xf numFmtId="0" fontId="10" fillId="0" borderId="36" xfId="3" applyNumberFormat="1" applyFont="1" applyBorder="1" applyAlignment="1" applyProtection="1">
      <alignment horizontal="left"/>
    </xf>
    <xf numFmtId="0" fontId="26" fillId="2" borderId="37" xfId="0" applyFont="1" applyFill="1" applyBorder="1" applyAlignment="1" applyProtection="1">
      <alignment horizontal="center"/>
    </xf>
    <xf numFmtId="0" fontId="26" fillId="2" borderId="39" xfId="0" applyFont="1" applyFill="1" applyBorder="1" applyAlignment="1" applyProtection="1">
      <alignment horizontal="center"/>
    </xf>
    <xf numFmtId="0" fontId="26" fillId="2" borderId="38" xfId="0" applyFont="1" applyFill="1" applyBorder="1" applyAlignment="1" applyProtection="1">
      <alignment horizontal="center"/>
    </xf>
    <xf numFmtId="0" fontId="16" fillId="4" borderId="37" xfId="0" applyFont="1" applyFill="1" applyBorder="1" applyAlignment="1" applyProtection="1">
      <alignment horizontal="center"/>
    </xf>
    <xf numFmtId="0" fontId="16" fillId="4" borderId="39" xfId="0" applyFont="1" applyFill="1" applyBorder="1" applyAlignment="1" applyProtection="1">
      <alignment horizontal="center"/>
    </xf>
    <xf numFmtId="0" fontId="16" fillId="4" borderId="38" xfId="0" applyFont="1" applyFill="1" applyBorder="1" applyAlignment="1" applyProtection="1">
      <alignment horizontal="center"/>
    </xf>
    <xf numFmtId="0" fontId="10" fillId="0" borderId="0" xfId="2" quotePrefix="1" applyFont="1" applyBorder="1" applyAlignment="1" applyProtection="1">
      <alignment horizontal="left"/>
    </xf>
    <xf numFmtId="0" fontId="10" fillId="0" borderId="0" xfId="2" applyFont="1" applyBorder="1" applyAlignment="1" applyProtection="1">
      <alignment horizontal="left"/>
    </xf>
    <xf numFmtId="0" fontId="10" fillId="0" borderId="0" xfId="2" quotePrefix="1" applyFont="1" applyBorder="1" applyAlignment="1" applyProtection="1">
      <alignment horizontal="left" wrapText="1"/>
    </xf>
    <xf numFmtId="0" fontId="10" fillId="0" borderId="0" xfId="2" applyFont="1" applyBorder="1" applyAlignment="1" applyProtection="1">
      <alignment horizontal="left" wrapText="1"/>
    </xf>
    <xf numFmtId="3" fontId="10" fillId="0" borderId="36" xfId="0" applyNumberFormat="1" applyFont="1" applyBorder="1" applyAlignment="1" applyProtection="1">
      <alignment horizontal="left"/>
    </xf>
    <xf numFmtId="3" fontId="26" fillId="2" borderId="36" xfId="0" applyNumberFormat="1" applyFont="1" applyFill="1" applyBorder="1" applyAlignment="1" applyProtection="1">
      <alignment horizontal="left"/>
    </xf>
    <xf numFmtId="0" fontId="19" fillId="2" borderId="37" xfId="0" applyFont="1" applyFill="1" applyBorder="1" applyAlignment="1">
      <alignment horizontal="center" vertical="center"/>
    </xf>
    <xf numFmtId="0" fontId="19" fillId="2" borderId="39" xfId="0" applyFont="1" applyFill="1" applyBorder="1" applyAlignment="1">
      <alignment horizontal="center" vertical="center"/>
    </xf>
    <xf numFmtId="0" fontId="19" fillId="2" borderId="38" xfId="0" applyFont="1" applyFill="1" applyBorder="1" applyAlignment="1">
      <alignment horizontal="center" vertical="center"/>
    </xf>
    <xf numFmtId="0" fontId="26" fillId="2" borderId="37" xfId="0" applyFont="1" applyFill="1" applyBorder="1" applyAlignment="1">
      <alignment horizontal="center"/>
    </xf>
    <xf numFmtId="0" fontId="26" fillId="2" borderId="38" xfId="0" applyFont="1" applyFill="1" applyBorder="1" applyAlignment="1">
      <alignment horizontal="center"/>
    </xf>
    <xf numFmtId="0" fontId="10" fillId="0" borderId="0" xfId="0" applyFont="1" applyFill="1" applyBorder="1" applyAlignment="1">
      <alignment horizontal="left" wrapText="1"/>
    </xf>
    <xf numFmtId="0" fontId="28" fillId="2" borderId="37" xfId="0" applyFont="1" applyFill="1" applyBorder="1" applyAlignment="1">
      <alignment horizontal="center"/>
    </xf>
    <xf numFmtId="0" fontId="28" fillId="2" borderId="38" xfId="0" applyFont="1" applyFill="1" applyBorder="1" applyAlignment="1">
      <alignment horizontal="center"/>
    </xf>
    <xf numFmtId="0" fontId="10" fillId="0" borderId="0" xfId="0" applyFont="1" applyAlignment="1">
      <alignment horizontal="left" wrapText="1"/>
    </xf>
    <xf numFmtId="0" fontId="10" fillId="0" borderId="0" xfId="0" applyFont="1" applyAlignment="1">
      <alignment horizontal="left"/>
    </xf>
    <xf numFmtId="14" fontId="54" fillId="0" borderId="10" xfId="0" applyNumberFormat="1" applyFont="1" applyBorder="1" applyAlignment="1">
      <alignment horizontal="left" vertical="top"/>
    </xf>
    <xf numFmtId="0" fontId="5" fillId="0" borderId="0" xfId="0" applyFont="1" applyFill="1" applyAlignment="1" applyProtection="1">
      <alignment horizontal="right" textRotation="90" wrapText="1"/>
    </xf>
    <xf numFmtId="0" fontId="30" fillId="2" borderId="7" xfId="0" applyFont="1" applyFill="1" applyBorder="1" applyAlignment="1" applyProtection="1">
      <alignment horizontal="right" vertical="top"/>
    </xf>
    <xf numFmtId="0" fontId="30" fillId="2" borderId="8" xfId="0" applyFont="1" applyFill="1" applyBorder="1" applyAlignment="1" applyProtection="1">
      <alignment horizontal="right" vertical="top"/>
    </xf>
    <xf numFmtId="0" fontId="30" fillId="2" borderId="9" xfId="0" applyFont="1" applyFill="1" applyBorder="1" applyAlignment="1" applyProtection="1">
      <alignment horizontal="right" vertical="top"/>
    </xf>
    <xf numFmtId="0" fontId="30" fillId="2" borderId="36" xfId="0" applyFont="1" applyFill="1" applyBorder="1" applyAlignment="1" applyProtection="1">
      <alignment horizontal="center" vertical="top" wrapText="1"/>
    </xf>
    <xf numFmtId="0" fontId="5" fillId="0" borderId="36" xfId="0" applyFont="1" applyBorder="1" applyAlignment="1">
      <alignment horizontal="center" vertical="top" wrapText="1"/>
    </xf>
    <xf numFmtId="0" fontId="41" fillId="2" borderId="36" xfId="0" applyFont="1" applyFill="1" applyBorder="1" applyAlignment="1" applyProtection="1">
      <alignment horizontal="center" vertical="top"/>
    </xf>
    <xf numFmtId="177" fontId="30" fillId="2" borderId="36" xfId="0" applyNumberFormat="1" applyFont="1" applyFill="1" applyBorder="1" applyAlignment="1" applyProtection="1">
      <alignment horizontal="center" vertical="top"/>
    </xf>
    <xf numFmtId="177" fontId="30" fillId="2" borderId="36" xfId="0" applyNumberFormat="1" applyFont="1" applyFill="1" applyBorder="1" applyAlignment="1" applyProtection="1">
      <alignment horizontal="center" vertical="top" wrapText="1"/>
    </xf>
    <xf numFmtId="0" fontId="26" fillId="2" borderId="7" xfId="0" applyFont="1" applyFill="1" applyBorder="1" applyAlignment="1" applyProtection="1">
      <alignment horizontal="right" vertical="top"/>
    </xf>
    <xf numFmtId="0" fontId="26" fillId="2" borderId="8" xfId="0" applyFont="1" applyFill="1" applyBorder="1" applyAlignment="1" applyProtection="1">
      <alignment horizontal="right" vertical="top"/>
    </xf>
    <xf numFmtId="0" fontId="26" fillId="2" borderId="9" xfId="0" applyFont="1" applyFill="1" applyBorder="1" applyAlignment="1" applyProtection="1">
      <alignment horizontal="right" vertical="top"/>
    </xf>
    <xf numFmtId="0" fontId="26" fillId="2" borderId="36" xfId="0" applyFont="1" applyFill="1" applyBorder="1" applyAlignment="1" applyProtection="1">
      <alignment horizontal="center" vertical="top" wrapText="1"/>
    </xf>
    <xf numFmtId="0" fontId="0" fillId="0" borderId="36" xfId="0" applyBorder="1" applyAlignment="1">
      <alignment horizontal="center" vertical="top" wrapText="1"/>
    </xf>
    <xf numFmtId="0" fontId="64" fillId="2" borderId="36" xfId="0" applyFont="1" applyFill="1" applyBorder="1" applyAlignment="1" applyProtection="1">
      <alignment horizontal="center" vertical="top"/>
    </xf>
    <xf numFmtId="177" fontId="26" fillId="2" borderId="36" xfId="0" applyNumberFormat="1" applyFont="1" applyFill="1" applyBorder="1" applyAlignment="1" applyProtection="1">
      <alignment horizontal="center" vertical="top"/>
    </xf>
    <xf numFmtId="0" fontId="10" fillId="0" borderId="0" xfId="0" applyFont="1" applyFill="1" applyAlignment="1" applyProtection="1">
      <alignment horizontal="right" textRotation="90" wrapText="1"/>
    </xf>
    <xf numFmtId="0" fontId="10" fillId="0" borderId="36" xfId="6" applyFont="1" applyFill="1" applyBorder="1" applyAlignment="1">
      <alignment vertical="top" wrapText="1"/>
    </xf>
    <xf numFmtId="0" fontId="3" fillId="0" borderId="36" xfId="13" applyBorder="1" applyAlignment="1">
      <alignment vertical="top" wrapText="1"/>
    </xf>
    <xf numFmtId="169" fontId="9" fillId="0" borderId="62" xfId="0" applyNumberFormat="1" applyFont="1" applyFill="1" applyBorder="1" applyAlignment="1" applyProtection="1">
      <alignment horizontal="left" vertical="top"/>
    </xf>
    <xf numFmtId="169" fontId="9" fillId="0" borderId="14" xfId="0" applyNumberFormat="1" applyFont="1" applyFill="1" applyBorder="1" applyAlignment="1" applyProtection="1">
      <alignment horizontal="left" vertical="top"/>
    </xf>
    <xf numFmtId="169" fontId="10" fillId="0" borderId="62" xfId="8" applyNumberFormat="1" applyFont="1" applyFill="1" applyBorder="1" applyAlignment="1" applyProtection="1">
      <alignment horizontal="left" vertical="top"/>
    </xf>
    <xf numFmtId="169" fontId="10" fillId="0" borderId="14" xfId="8" applyNumberFormat="1" applyFont="1" applyFill="1" applyBorder="1" applyAlignment="1" applyProtection="1">
      <alignment horizontal="left" vertical="top"/>
    </xf>
    <xf numFmtId="0" fontId="10" fillId="0" borderId="62" xfId="6" applyFont="1" applyFill="1" applyBorder="1" applyAlignment="1">
      <alignment horizontal="left" vertical="top" wrapText="1"/>
    </xf>
    <xf numFmtId="0" fontId="10" fillId="0" borderId="14" xfId="6" applyFont="1" applyFill="1" applyBorder="1" applyAlignment="1">
      <alignment horizontal="left" vertical="top" wrapText="1"/>
    </xf>
    <xf numFmtId="0" fontId="36" fillId="0" borderId="62" xfId="6" applyFont="1" applyFill="1" applyBorder="1" applyAlignment="1">
      <alignment horizontal="left" vertical="top" wrapText="1"/>
    </xf>
    <xf numFmtId="0" fontId="36" fillId="0" borderId="14" xfId="6" applyFont="1" applyFill="1" applyBorder="1" applyAlignment="1">
      <alignment horizontal="left" vertical="top" wrapText="1"/>
    </xf>
    <xf numFmtId="0" fontId="9" fillId="0" borderId="62" xfId="6" applyFont="1" applyBorder="1" applyAlignment="1">
      <alignment horizontal="left" vertical="top"/>
    </xf>
    <xf numFmtId="0" fontId="9" fillId="0" borderId="14" xfId="6" applyFont="1" applyBorder="1" applyAlignment="1">
      <alignment horizontal="left" vertical="top"/>
    </xf>
    <xf numFmtId="0" fontId="47" fillId="2" borderId="36" xfId="0" applyFont="1" applyFill="1" applyBorder="1" applyAlignment="1" applyProtection="1">
      <alignment horizontal="center" vertical="top"/>
    </xf>
    <xf numFmtId="0" fontId="26" fillId="2" borderId="7" xfId="0" applyFont="1" applyFill="1" applyBorder="1" applyAlignment="1" applyProtection="1">
      <alignment horizontal="center" vertical="top"/>
    </xf>
    <xf numFmtId="0" fontId="26" fillId="2" borderId="8" xfId="0" applyFont="1" applyFill="1" applyBorder="1" applyAlignment="1" applyProtection="1">
      <alignment horizontal="center" vertical="top"/>
    </xf>
    <xf numFmtId="0" fontId="26" fillId="2" borderId="9" xfId="0" applyFont="1" applyFill="1" applyBorder="1" applyAlignment="1" applyProtection="1">
      <alignment horizontal="center" vertical="top"/>
    </xf>
    <xf numFmtId="0" fontId="9" fillId="0" borderId="62" xfId="6" applyFont="1" applyFill="1" applyBorder="1" applyAlignment="1">
      <alignment horizontal="left" vertical="top" wrapText="1"/>
    </xf>
    <xf numFmtId="0" fontId="9" fillId="0" borderId="14" xfId="6" applyFont="1" applyFill="1" applyBorder="1" applyAlignment="1">
      <alignment horizontal="left" vertical="top" wrapText="1"/>
    </xf>
    <xf numFmtId="0" fontId="9" fillId="0" borderId="62" xfId="0" applyFont="1" applyFill="1" applyBorder="1" applyAlignment="1" applyProtection="1">
      <alignment horizontal="left" vertical="top"/>
    </xf>
    <xf numFmtId="0" fontId="9" fillId="0" borderId="14" xfId="0" applyFont="1" applyFill="1" applyBorder="1" applyAlignment="1" applyProtection="1">
      <alignment horizontal="left" vertical="top"/>
    </xf>
    <xf numFmtId="0" fontId="10" fillId="0" borderId="62" xfId="6" applyFont="1" applyFill="1" applyBorder="1" applyAlignment="1">
      <alignment horizontal="left" vertical="top"/>
    </xf>
    <xf numFmtId="0" fontId="10" fillId="0" borderId="14" xfId="6" applyFont="1" applyFill="1" applyBorder="1" applyAlignment="1">
      <alignment horizontal="left" vertical="top"/>
    </xf>
    <xf numFmtId="169" fontId="10" fillId="0" borderId="62" xfId="8" applyNumberFormat="1" applyFont="1" applyFill="1" applyBorder="1" applyAlignment="1" applyProtection="1">
      <alignment horizontal="left" vertical="top" wrapText="1"/>
    </xf>
    <xf numFmtId="169" fontId="10" fillId="0" borderId="14" xfId="8" applyNumberFormat="1" applyFont="1" applyFill="1" applyBorder="1" applyAlignment="1" applyProtection="1">
      <alignment horizontal="left" vertical="top" wrapText="1"/>
    </xf>
    <xf numFmtId="179" fontId="5" fillId="0" borderId="0" xfId="0" applyNumberFormat="1" applyFont="1" applyAlignment="1">
      <alignment horizontal="right" vertical="top"/>
    </xf>
    <xf numFmtId="0" fontId="0" fillId="0" borderId="0" xfId="0" applyAlignment="1">
      <alignment vertical="top"/>
    </xf>
    <xf numFmtId="0" fontId="15" fillId="0" borderId="0" xfId="0" applyFont="1" applyFill="1" applyBorder="1" applyAlignment="1">
      <alignment horizontal="left"/>
    </xf>
    <xf numFmtId="0" fontId="82" fillId="0" borderId="0" xfId="0" applyFont="1" applyAlignment="1">
      <alignment horizontal="left" wrapText="1"/>
    </xf>
    <xf numFmtId="0" fontId="3" fillId="0" borderId="0" xfId="0" applyFont="1" applyAlignment="1">
      <alignment horizontal="left" vertical="top" wrapText="1"/>
    </xf>
  </cellXfs>
  <cellStyles count="41">
    <cellStyle name="Comma" xfId="1" builtinId="3"/>
    <cellStyle name="Comma 2" xfId="9" xr:uid="{00000000-0005-0000-0000-000001000000}"/>
    <cellStyle name="Comma 3" xfId="19" xr:uid="{00000000-0005-0000-0000-000002000000}"/>
    <cellStyle name="Comma 3 2" xfId="40" xr:uid="{00000000-0005-0000-0000-000003000000}"/>
    <cellStyle name="Comma 4" xfId="16" xr:uid="{00000000-0005-0000-0000-000004000000}"/>
    <cellStyle name="Comma 5" xfId="20" xr:uid="{00000000-0005-0000-0000-000005000000}"/>
    <cellStyle name="Comma 6" xfId="21" xr:uid="{00000000-0005-0000-0000-000006000000}"/>
    <cellStyle name="Comma0" xfId="10" xr:uid="{00000000-0005-0000-0000-000007000000}"/>
    <cellStyle name="Currency 2" xfId="18" xr:uid="{00000000-0005-0000-0000-000008000000}"/>
    <cellStyle name="Currency 3" xfId="22" xr:uid="{00000000-0005-0000-0000-000009000000}"/>
    <cellStyle name="Currency 4" xfId="15" xr:uid="{00000000-0005-0000-0000-00000A000000}"/>
    <cellStyle name="Currency 5" xfId="23" xr:uid="{00000000-0005-0000-0000-00000B000000}"/>
    <cellStyle name="Hyperlink 2" xfId="14" xr:uid="{00000000-0005-0000-0000-00000C000000}"/>
    <cellStyle name="Hyperlink 3" xfId="36" xr:uid="{00000000-0005-0000-0000-00000D000000}"/>
    <cellStyle name="New" xfId="11" xr:uid="{00000000-0005-0000-0000-00000E000000}"/>
    <cellStyle name="Normal" xfId="0" builtinId="0"/>
    <cellStyle name="Normal 11" xfId="13" xr:uid="{00000000-0005-0000-0000-000010000000}"/>
    <cellStyle name="Normal 2" xfId="8" xr:uid="{00000000-0005-0000-0000-000011000000}"/>
    <cellStyle name="Normal 2 2" xfId="24" xr:uid="{00000000-0005-0000-0000-000012000000}"/>
    <cellStyle name="Normal 2 2 2" xfId="37" xr:uid="{00000000-0005-0000-0000-000013000000}"/>
    <cellStyle name="Normal 3" xfId="25" xr:uid="{00000000-0005-0000-0000-000014000000}"/>
    <cellStyle name="Normal 3 2" xfId="12" xr:uid="{00000000-0005-0000-0000-000015000000}"/>
    <cellStyle name="Normal 4" xfId="26" xr:uid="{00000000-0005-0000-0000-000016000000}"/>
    <cellStyle name="Normal 4 2" xfId="27" xr:uid="{00000000-0005-0000-0000-000017000000}"/>
    <cellStyle name="Normal 5" xfId="28" xr:uid="{00000000-0005-0000-0000-000018000000}"/>
    <cellStyle name="Normal 5 2" xfId="38" xr:uid="{00000000-0005-0000-0000-000019000000}"/>
    <cellStyle name="Normal 6" xfId="29" xr:uid="{00000000-0005-0000-0000-00001A000000}"/>
    <cellStyle name="Normal 6 2" xfId="39" xr:uid="{00000000-0005-0000-0000-00001B000000}"/>
    <cellStyle name="Normal 7" xfId="30" xr:uid="{00000000-0005-0000-0000-00001C000000}"/>
    <cellStyle name="Normal 8" xfId="31" xr:uid="{00000000-0005-0000-0000-00001D000000}"/>
    <cellStyle name="Normal_201tallbenchmarkgraphs" xfId="2" xr:uid="{00000000-0005-0000-0000-00001E000000}"/>
    <cellStyle name="Normal_dti price adjustment" xfId="3" xr:uid="{00000000-0005-0000-0000-00001F000000}"/>
    <cellStyle name="Normal_KPI-13.01.05" xfId="4" xr:uid="{00000000-0005-0000-0000-000020000000}"/>
    <cellStyle name="Normal_RPC CFR2 (Traditional 2 Stage)" xfId="5" xr:uid="{00000000-0005-0000-0000-000021000000}"/>
    <cellStyle name="Normal_Stage D April 2002" xfId="6" xr:uid="{00000000-0005-0000-0000-000022000000}"/>
    <cellStyle name="Percent" xfId="7" builtinId="5"/>
    <cellStyle name="Percent 2" xfId="32" xr:uid="{00000000-0005-0000-0000-000024000000}"/>
    <cellStyle name="Percent 3" xfId="33" xr:uid="{00000000-0005-0000-0000-000025000000}"/>
    <cellStyle name="Percent 4" xfId="17" xr:uid="{00000000-0005-0000-0000-000026000000}"/>
    <cellStyle name="Percent 5" xfId="34" xr:uid="{00000000-0005-0000-0000-000027000000}"/>
    <cellStyle name="Percent 6" xfId="35" xr:uid="{00000000-0005-0000-0000-000028000000}"/>
  </cellStyles>
  <dxfs count="14">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ndense val="0"/>
        <extend val="0"/>
        <color indexed="9"/>
      </font>
    </dxf>
    <dxf>
      <fill>
        <patternFill>
          <bgColor indexed="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FFFF"/>
      <rgbColor rgb="00FFFFFF"/>
      <rgbColor rgb="00FFFFFF"/>
      <rgbColor rgb="00FFFFFF"/>
      <rgbColor rgb="00FFFFFF"/>
      <rgbColor rgb="00FFFFFF"/>
      <rgbColor rgb="00FFFF00"/>
      <rgbColor rgb="00FFFFFF"/>
      <rgbColor rgb="00FFFFFF"/>
      <rgbColor rgb="00FFFFFF"/>
      <rgbColor rgb="00FFFFFF"/>
      <rgbColor rgb="00FFFFFF"/>
      <rgbColor rgb="00FFFFFF"/>
      <rgbColor rgb="00FFFFFF"/>
      <rgbColor rgb="00DDDDDD"/>
      <rgbColor rgb="00808080"/>
      <rgbColor rgb="0063C1DF"/>
      <rgbColor rgb="0085E61F"/>
      <rgbColor rgb="00FC9F1A"/>
      <rgbColor rgb="009C0880"/>
      <rgbColor rgb="00000000"/>
      <rgbColor rgb="00FFFFFF"/>
      <rgbColor rgb="00988F86"/>
      <rgbColor rgb="00FFFFFF"/>
      <rgbColor rgb="0063C1DF"/>
      <rgbColor rgb="0085E61F"/>
      <rgbColor rgb="00FC9F1A"/>
      <rgbColor rgb="009C0880"/>
      <rgbColor rgb="00000000"/>
      <rgbColor rgb="00988F86"/>
      <rgbColor rgb="00000000"/>
      <rgbColor rgb="00000000"/>
      <rgbColor rgb="00FFFFFF"/>
      <rgbColor rgb="00000000"/>
      <rgbColor rgb="009C0880"/>
      <rgbColor rgb="00FC9F1A"/>
      <rgbColor rgb="00FFFFFF"/>
      <rgbColor rgb="0063C1DF"/>
      <rgbColor rgb="00988F86"/>
      <rgbColor rgb="0085E61F"/>
      <rgbColor rgb="00FFFFFF"/>
      <rgbColor rgb="00FFFFFF"/>
      <rgbColor rgb="00FFFFFF"/>
      <rgbColor rgb="00FFFFFF"/>
      <rgbColor rgb="00FFFFFF"/>
      <rgbColor rgb="00FFFFFF"/>
      <rgbColor rgb="00FFFFFF"/>
      <rgbColor rgb="00988F86"/>
      <rgbColor rgb="00FFFFFF"/>
      <rgbColor rgb="00FFFFFF"/>
      <rgbColor rgb="00FFFFFF"/>
      <rgbColor rgb="00FFFFFF"/>
      <rgbColor rgb="00FFFFFF"/>
      <rgbColor rgb="00FFFFFF"/>
      <rgbColor rgb="00FFFFFF"/>
      <rgbColor rgb="000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t>Shell &amp; Core Construction Costs - Current/Recent HUK Schemes</a:t>
            </a:r>
          </a:p>
        </c:rich>
      </c:tx>
      <c:overlay val="0"/>
      <c:spPr>
        <a:noFill/>
        <a:ln w="25400">
          <a:noFill/>
        </a:ln>
      </c:spPr>
    </c:title>
    <c:autoTitleDeleted val="0"/>
    <c:view3D>
      <c:rotX val="15"/>
      <c:hPercent val="9"/>
      <c:rotY val="20"/>
      <c:depthPercent val="100"/>
      <c:rAngAx val="1"/>
    </c:view3D>
    <c:floor>
      <c:thickness val="0"/>
      <c:spPr>
        <a:solidFill>
          <a:srgbClr val="DDDDDD"/>
        </a:solidFill>
        <a:ln w="3175">
          <a:solidFill>
            <a:srgbClr val="000000"/>
          </a:solidFill>
          <a:prstDash val="solid"/>
        </a:ln>
      </c:spPr>
    </c:floor>
    <c:sideWall>
      <c:thickness val="0"/>
      <c:spPr>
        <a:solidFill>
          <a:srgbClr val="DDDDDD"/>
        </a:solidFill>
        <a:ln w="12700">
          <a:solidFill>
            <a:srgbClr val="808080"/>
          </a:solidFill>
          <a:prstDash val="solid"/>
        </a:ln>
      </c:spPr>
    </c:sideWall>
    <c:backWall>
      <c:thickness val="0"/>
      <c:spPr>
        <a:solidFill>
          <a:srgbClr val="DDDDDD"/>
        </a:solidFill>
        <a:ln w="12700">
          <a:solidFill>
            <a:srgbClr val="808080"/>
          </a:solidFill>
          <a:prstDash val="solid"/>
        </a:ln>
      </c:spPr>
    </c:backWall>
    <c:plotArea>
      <c:layout/>
      <c:bar3DChart>
        <c:barDir val="col"/>
        <c:grouping val="clustered"/>
        <c:varyColors val="0"/>
        <c:ser>
          <c:idx val="0"/>
          <c:order val="0"/>
          <c:spPr>
            <a:solidFill>
              <a:srgbClr val="63C1DF"/>
            </a:solidFill>
            <a:ln w="12700">
              <a:solidFill>
                <a:srgbClr val="000000"/>
              </a:solidFill>
              <a:prstDash val="solid"/>
            </a:ln>
          </c:spPr>
          <c:invertIfNegative val="0"/>
          <c:extLst>
            <c:ext xmlns:c16="http://schemas.microsoft.com/office/drawing/2014/chart" uri="{C3380CC4-5D6E-409C-BE32-E72D297353CC}">
              <c16:uniqueId val="{00000000-9221-4DBA-BD3B-D8B55B418B97}"/>
            </c:ext>
          </c:extLst>
        </c:ser>
        <c:ser>
          <c:idx val="1"/>
          <c:order val="1"/>
          <c:spPr>
            <a:solidFill>
              <a:srgbClr val="FFFFFF"/>
            </a:solidFill>
            <a:ln w="12700">
              <a:solidFill>
                <a:srgbClr val="000000"/>
              </a:solidFill>
              <a:prstDash val="solid"/>
            </a:ln>
          </c:spPr>
          <c:invertIfNegative val="0"/>
          <c:extLst>
            <c:ext xmlns:c16="http://schemas.microsoft.com/office/drawing/2014/chart" uri="{C3380CC4-5D6E-409C-BE32-E72D297353CC}">
              <c16:uniqueId val="{00000001-9221-4DBA-BD3B-D8B55B418B97}"/>
            </c:ext>
          </c:extLst>
        </c:ser>
        <c:dLbls>
          <c:showLegendKey val="0"/>
          <c:showVal val="0"/>
          <c:showCatName val="0"/>
          <c:showSerName val="0"/>
          <c:showPercent val="0"/>
          <c:showBubbleSize val="0"/>
        </c:dLbls>
        <c:gapWidth val="150"/>
        <c:shape val="box"/>
        <c:axId val="197347200"/>
        <c:axId val="197348736"/>
        <c:axId val="0"/>
      </c:bar3DChart>
      <c:catAx>
        <c:axId val="197347200"/>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175" b="1" i="0" u="none" strike="noStrike" baseline="0">
                <a:solidFill>
                  <a:srgbClr val="000000"/>
                </a:solidFill>
                <a:latin typeface="Arial"/>
                <a:ea typeface="Arial"/>
                <a:cs typeface="Arial"/>
              </a:defRPr>
            </a:pPr>
            <a:endParaRPr lang="en-US"/>
          </a:p>
        </c:txPr>
        <c:crossAx val="197348736"/>
        <c:crosses val="autoZero"/>
        <c:auto val="1"/>
        <c:lblAlgn val="ctr"/>
        <c:lblOffset val="100"/>
        <c:tickLblSkip val="1"/>
        <c:tickMarkSkip val="1"/>
        <c:noMultiLvlLbl val="0"/>
      </c:catAx>
      <c:valAx>
        <c:axId val="197348736"/>
        <c:scaling>
          <c:orientation val="minMax"/>
          <c:max val="220"/>
          <c:min val="100"/>
        </c:scaling>
        <c:delete val="0"/>
        <c:axPos val="l"/>
        <c:majorGridlines>
          <c:spPr>
            <a:ln w="3175">
              <a:solidFill>
                <a:srgbClr val="000000"/>
              </a:solidFill>
              <a:prstDash val="solid"/>
            </a:ln>
          </c:spPr>
        </c:majorGridlines>
        <c:title>
          <c:tx>
            <c:rich>
              <a:bodyPr rot="0" vert="horz"/>
              <a:lstStyle/>
              <a:p>
                <a:pPr algn="ctr">
                  <a:defRPr sz="1100" b="0" i="0" u="none" strike="noStrike" baseline="0">
                    <a:solidFill>
                      <a:srgbClr val="000000"/>
                    </a:solidFill>
                    <a:latin typeface="Calibri"/>
                    <a:ea typeface="Calibri"/>
                    <a:cs typeface="Calibri"/>
                  </a:defRPr>
                </a:pPr>
                <a:r>
                  <a:rPr lang="en-GB" sz="175" b="1" i="0" u="none" strike="noStrike" baseline="0">
                    <a:solidFill>
                      <a:srgbClr val="000000"/>
                    </a:solidFill>
                    <a:latin typeface="Arial"/>
                    <a:cs typeface="Arial"/>
                  </a:rPr>
                  <a:t>£/ft</a:t>
                </a:r>
                <a:r>
                  <a:rPr lang="en-GB" sz="175" b="1" i="0" u="none" strike="noStrike" baseline="30000">
                    <a:solidFill>
                      <a:srgbClr val="000000"/>
                    </a:solidFill>
                    <a:latin typeface="Arial"/>
                    <a:cs typeface="Arial"/>
                  </a:rPr>
                  <a:t>2</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75" b="1" i="0" u="none" strike="noStrike" baseline="0">
                <a:solidFill>
                  <a:srgbClr val="000000"/>
                </a:solidFill>
                <a:latin typeface="Arial"/>
                <a:ea typeface="Arial"/>
                <a:cs typeface="Arial"/>
              </a:defRPr>
            </a:pPr>
            <a:endParaRPr lang="en-US"/>
          </a:p>
        </c:txPr>
        <c:crossAx val="197347200"/>
        <c:crosses val="autoZero"/>
        <c:crossBetween val="between"/>
        <c:majorUnit val="25"/>
      </c:valAx>
      <c:spPr>
        <a:noFill/>
        <a:ln w="25400">
          <a:noFill/>
        </a:ln>
      </c:spPr>
    </c:plotArea>
    <c:plotVisOnly val="1"/>
    <c:dispBlanksAs val="gap"/>
    <c:showDLblsOverMax val="0"/>
  </c:chart>
  <c:spPr>
    <a:solidFill>
      <a:srgbClr val="FFFFFF"/>
    </a:solidFill>
    <a:ln w="9525">
      <a:noFill/>
    </a:ln>
  </c:spPr>
  <c:txPr>
    <a:bodyPr/>
    <a:lstStyle/>
    <a:p>
      <a:pPr>
        <a:defRPr sz="400" b="0" i="0" u="none" strike="noStrike" baseline="0">
          <a:solidFill>
            <a:srgbClr val="000000"/>
          </a:solidFill>
          <a:latin typeface="Arial"/>
          <a:ea typeface="Arial"/>
          <a:cs typeface="Arial"/>
        </a:defRPr>
      </a:pPr>
      <a:endParaRPr lang="en-US"/>
    </a:p>
  </c:txPr>
  <c:printSettings>
    <c:headerFooter alignWithMargins="0"/>
    <c:pageMargins b="1" l="0.75000000000001066" r="0.75000000000001066" t="1"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'Cash Flow'!$B$1</c:f>
          <c:strCache>
            <c:ptCount val="1"/>
            <c:pt idx="0">
              <c:v>Cash Flow</c:v>
            </c:pt>
          </c:strCache>
        </c:strRef>
      </c:tx>
      <c:layout>
        <c:manualLayout>
          <c:xMode val="edge"/>
          <c:yMode val="edge"/>
          <c:x val="0.44845432980671235"/>
          <c:y val="3.2338308457711719E-2"/>
        </c:manualLayout>
      </c:layout>
      <c:overlay val="0"/>
      <c:spPr>
        <a:noFill/>
        <a:ln w="25400">
          <a:noFill/>
        </a:ln>
      </c:spPr>
      <c:txPr>
        <a:bodyPr/>
        <a:lstStyle/>
        <a:p>
          <a:pPr>
            <a:defRPr sz="800" b="1"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4261192314339571"/>
          <c:y val="0.19403032209635926"/>
          <c:w val="0.6666677852968369"/>
          <c:h val="0.63930503562520424"/>
        </c:manualLayout>
      </c:layout>
      <c:barChart>
        <c:barDir val="col"/>
        <c:grouping val="clustered"/>
        <c:varyColors val="0"/>
        <c:ser>
          <c:idx val="1"/>
          <c:order val="1"/>
          <c:tx>
            <c:strRef>
              <c:f>'Cash Flow'!$D$6</c:f>
              <c:strCache>
                <c:ptCount val="1"/>
                <c:pt idx="0">
                  <c:v>Projected Monthly</c:v>
                </c:pt>
              </c:strCache>
            </c:strRef>
          </c:tx>
          <c:spPr>
            <a:solidFill>
              <a:srgbClr val="85E61F"/>
            </a:solidFill>
            <a:ln w="12700">
              <a:solidFill>
                <a:srgbClr val="000000"/>
              </a:solidFill>
              <a:prstDash val="solid"/>
            </a:ln>
          </c:spPr>
          <c:invertIfNegative val="0"/>
          <c:extLst>
            <c:ext xmlns:c16="http://schemas.microsoft.com/office/drawing/2014/chart" uri="{C3380CC4-5D6E-409C-BE32-E72D297353CC}">
              <c16:uniqueId val="{00000000-0C4B-46FC-BE4F-DC0D3FB34F2F}"/>
            </c:ext>
          </c:extLst>
        </c:ser>
        <c:dLbls>
          <c:showLegendKey val="0"/>
          <c:showVal val="0"/>
          <c:showCatName val="0"/>
          <c:showSerName val="0"/>
          <c:showPercent val="0"/>
          <c:showBubbleSize val="0"/>
        </c:dLbls>
        <c:gapWidth val="150"/>
        <c:axId val="224000640"/>
        <c:axId val="192942464"/>
      </c:barChart>
      <c:lineChart>
        <c:grouping val="standard"/>
        <c:varyColors val="0"/>
        <c:ser>
          <c:idx val="0"/>
          <c:order val="0"/>
          <c:tx>
            <c:strRef>
              <c:f>'Cash Flow'!$E$6</c:f>
              <c:strCache>
                <c:ptCount val="1"/>
                <c:pt idx="0">
                  <c:v>Projected Cumulative</c:v>
                </c:pt>
              </c:strCache>
            </c:strRef>
          </c:tx>
          <c:spPr>
            <a:ln w="12700">
              <a:solidFill>
                <a:srgbClr val="63C1DF"/>
              </a:solidFill>
              <a:prstDash val="solid"/>
            </a:ln>
          </c:spPr>
          <c:marker>
            <c:symbol val="square"/>
            <c:size val="3"/>
            <c:spPr>
              <a:solidFill>
                <a:srgbClr val="63C1DF"/>
              </a:solidFill>
              <a:ln>
                <a:solidFill>
                  <a:srgbClr val="63C1DF"/>
                </a:solidFill>
                <a:prstDash val="solid"/>
              </a:ln>
            </c:spPr>
          </c:marker>
          <c:smooth val="0"/>
          <c:extLst>
            <c:ext xmlns:c16="http://schemas.microsoft.com/office/drawing/2014/chart" uri="{C3380CC4-5D6E-409C-BE32-E72D297353CC}">
              <c16:uniqueId val="{00000001-0C4B-46FC-BE4F-DC0D3FB34F2F}"/>
            </c:ext>
          </c:extLst>
        </c:ser>
        <c:dLbls>
          <c:showLegendKey val="0"/>
          <c:showVal val="0"/>
          <c:showCatName val="0"/>
          <c:showSerName val="0"/>
          <c:showPercent val="0"/>
          <c:showBubbleSize val="0"/>
        </c:dLbls>
        <c:marker val="1"/>
        <c:smooth val="0"/>
        <c:axId val="223987968"/>
        <c:axId val="223998720"/>
      </c:lineChart>
      <c:dateAx>
        <c:axId val="223987968"/>
        <c:scaling>
          <c:orientation val="minMax"/>
        </c:scaling>
        <c:delete val="0"/>
        <c:axPos val="b"/>
        <c:title>
          <c:tx>
            <c:rich>
              <a:bodyPr/>
              <a:lstStyle/>
              <a:p>
                <a:pPr>
                  <a:defRPr sz="575" b="1" i="0" u="none" strike="noStrike" baseline="0">
                    <a:solidFill>
                      <a:srgbClr val="000000"/>
                    </a:solidFill>
                    <a:latin typeface="Arial"/>
                    <a:ea typeface="Arial"/>
                    <a:cs typeface="Arial"/>
                  </a:defRPr>
                </a:pPr>
                <a:r>
                  <a:t>Date</a:t>
                </a:r>
              </a:p>
            </c:rich>
          </c:tx>
          <c:layout>
            <c:manualLayout>
              <c:xMode val="edge"/>
              <c:yMode val="edge"/>
              <c:x val="0.45360896898197206"/>
              <c:y val="0.9502511066713677"/>
            </c:manualLayout>
          </c:layout>
          <c:overlay val="0"/>
          <c:spPr>
            <a:noFill/>
            <a:ln w="25400">
              <a:noFill/>
            </a:ln>
          </c:spPr>
        </c:title>
        <c:numFmt formatCode="mmm\-yy" sourceLinked="0"/>
        <c:majorTickMark val="out"/>
        <c:minorTickMark val="none"/>
        <c:tickLblPos val="nextTo"/>
        <c:spPr>
          <a:ln w="3175">
            <a:solidFill>
              <a:srgbClr val="000000"/>
            </a:solidFill>
            <a:prstDash val="solid"/>
          </a:ln>
        </c:spPr>
        <c:txPr>
          <a:bodyPr rot="-2460000" vert="horz"/>
          <a:lstStyle/>
          <a:p>
            <a:pPr>
              <a:defRPr sz="825" b="0" i="0" u="none" strike="noStrike" baseline="0">
                <a:solidFill>
                  <a:srgbClr val="000000"/>
                </a:solidFill>
                <a:latin typeface="Arial"/>
                <a:ea typeface="Arial"/>
                <a:cs typeface="Arial"/>
              </a:defRPr>
            </a:pPr>
            <a:endParaRPr lang="en-US"/>
          </a:p>
        </c:txPr>
        <c:crossAx val="223998720"/>
        <c:crosses val="autoZero"/>
        <c:auto val="0"/>
        <c:lblOffset val="100"/>
        <c:baseTimeUnit val="months"/>
        <c:majorUnit val="1"/>
        <c:majorTimeUnit val="months"/>
        <c:minorUnit val="1"/>
        <c:minorTimeUnit val="months"/>
      </c:dateAx>
      <c:valAx>
        <c:axId val="223998720"/>
        <c:scaling>
          <c:orientation val="minMax"/>
          <c:min val="0"/>
        </c:scaling>
        <c:delete val="0"/>
        <c:axPos val="l"/>
        <c:majorGridlines>
          <c:spPr>
            <a:ln w="3175">
              <a:solidFill>
                <a:srgbClr val="DDDDDD"/>
              </a:solidFill>
              <a:prstDash val="solid"/>
            </a:ln>
          </c:spPr>
        </c:majorGridlines>
        <c:title>
          <c:tx>
            <c:rich>
              <a:bodyPr/>
              <a:lstStyle/>
              <a:p>
                <a:pPr>
                  <a:defRPr sz="800" b="1" i="0" u="none" strike="noStrike" baseline="0">
                    <a:solidFill>
                      <a:srgbClr val="000000"/>
                    </a:solidFill>
                    <a:latin typeface="Arial"/>
                    <a:ea typeface="Arial"/>
                    <a:cs typeface="Arial"/>
                  </a:defRPr>
                </a:pPr>
                <a:r>
                  <a:t>Cumulative Value</a:t>
                </a:r>
              </a:p>
            </c:rich>
          </c:tx>
          <c:layout>
            <c:manualLayout>
              <c:xMode val="edge"/>
              <c:yMode val="edge"/>
              <c:x val="1.2027491408934709E-2"/>
              <c:y val="0.3880607461380780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223987968"/>
        <c:crosses val="autoZero"/>
        <c:crossBetween val="between"/>
      </c:valAx>
      <c:catAx>
        <c:axId val="224000640"/>
        <c:scaling>
          <c:orientation val="minMax"/>
        </c:scaling>
        <c:delete val="1"/>
        <c:axPos val="b"/>
        <c:majorTickMark val="out"/>
        <c:minorTickMark val="none"/>
        <c:tickLblPos val="none"/>
        <c:crossAx val="192942464"/>
        <c:crosses val="autoZero"/>
        <c:auto val="1"/>
        <c:lblAlgn val="ctr"/>
        <c:lblOffset val="100"/>
        <c:noMultiLvlLbl val="0"/>
      </c:catAx>
      <c:valAx>
        <c:axId val="192942464"/>
        <c:scaling>
          <c:orientation val="minMax"/>
          <c:max val="50000"/>
        </c:scaling>
        <c:delete val="0"/>
        <c:axPos val="r"/>
        <c:title>
          <c:tx>
            <c:rich>
              <a:bodyPr/>
              <a:lstStyle/>
              <a:p>
                <a:pPr>
                  <a:defRPr sz="800" b="1" i="0" u="none" strike="noStrike" baseline="0">
                    <a:solidFill>
                      <a:srgbClr val="000000"/>
                    </a:solidFill>
                    <a:latin typeface="Arial"/>
                    <a:ea typeface="Arial"/>
                    <a:cs typeface="Arial"/>
                  </a:defRPr>
                </a:pPr>
                <a:r>
                  <a:t>Monthly Value</a:t>
                </a:r>
              </a:p>
            </c:rich>
          </c:tx>
          <c:layout>
            <c:manualLayout>
              <c:xMode val="edge"/>
              <c:yMode val="edge"/>
              <c:x val="0.91580918364585873"/>
              <c:y val="0.39552343270524343"/>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224000640"/>
        <c:crosses val="max"/>
        <c:crossBetween val="between"/>
      </c:valAx>
      <c:spPr>
        <a:noFill/>
        <a:ln w="25400">
          <a:noFill/>
        </a:ln>
      </c:spPr>
    </c:plotArea>
    <c:legend>
      <c:legendPos val="r"/>
      <c:layout>
        <c:manualLayout>
          <c:xMode val="edge"/>
          <c:yMode val="edge"/>
          <c:wMode val="edge"/>
          <c:hMode val="edge"/>
          <c:x val="0.83505298951033158"/>
          <c:y val="6.4676878076807567E-2"/>
          <c:w val="0.98797413209946694"/>
          <c:h val="0.12189106958645129"/>
        </c:manualLayout>
      </c:layout>
      <c:overlay val="0"/>
      <c:spPr>
        <a:solidFill>
          <a:srgbClr val="FFFFFF"/>
        </a:solidFill>
        <a:ln w="3175">
          <a:solidFill>
            <a:srgbClr val="000000"/>
          </a:solidFill>
          <a:prstDash val="solid"/>
        </a:ln>
      </c:spPr>
      <c:txPr>
        <a:bodyPr/>
        <a:lstStyle/>
        <a:p>
          <a:pPr>
            <a:defRPr sz="39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425" b="0" i="0" u="none" strike="noStrike" baseline="0">
          <a:solidFill>
            <a:srgbClr val="000000"/>
          </a:solidFill>
          <a:latin typeface="Arial"/>
          <a:ea typeface="Arial"/>
          <a:cs typeface="Arial"/>
        </a:defRPr>
      </a:pPr>
      <a:endParaRPr lang="en-US"/>
    </a:p>
  </c:txPr>
  <c:printSettings>
    <c:headerFooter alignWithMargins="0"/>
    <c:pageMargins b="1" l="0.75000000000001066" r="0.75000000000001066" t="1" header="0.5" footer="0.5"/>
    <c:pageSetup paperSize="9" orientation="landscape"/>
  </c:printSettings>
</c:chartSpace>
</file>

<file path=xl/drawings/_rels/drawing10.xml.rels><?xml version="1.0" encoding="UTF-8" standalone="yes"?>
<Relationships xmlns="http://schemas.openxmlformats.org/package/2006/relationships"><Relationship Id="rId1" Type="http://schemas.openxmlformats.org/officeDocument/2006/relationships/image" Target="../media/image5.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1" Type="http://schemas.openxmlformats.org/officeDocument/2006/relationships/image" Target="../media/image5.jpeg"/></Relationships>
</file>

<file path=xl/drawings/_rels/drawing9.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7.jpeg"/><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8</xdr:col>
      <xdr:colOff>419100</xdr:colOff>
      <xdr:row>7</xdr:row>
      <xdr:rowOff>114300</xdr:rowOff>
    </xdr:from>
    <xdr:to>
      <xdr:col>10</xdr:col>
      <xdr:colOff>495300</xdr:colOff>
      <xdr:row>19</xdr:row>
      <xdr:rowOff>0</xdr:rowOff>
    </xdr:to>
    <xdr:sp macro="" textlink="">
      <xdr:nvSpPr>
        <xdr:cNvPr id="19467" name="Text Box 11">
          <a:extLst>
            <a:ext uri="{FF2B5EF4-FFF2-40B4-BE49-F238E27FC236}">
              <a16:creationId xmlns:a16="http://schemas.microsoft.com/office/drawing/2014/main" id="{00000000-0008-0000-0100-00000B4C0000}"/>
            </a:ext>
          </a:extLst>
        </xdr:cNvPr>
        <xdr:cNvSpPr txBox="1">
          <a:spLocks noChangeArrowheads="1"/>
        </xdr:cNvSpPr>
      </xdr:nvSpPr>
      <xdr:spPr bwMode="auto">
        <a:xfrm>
          <a:off x="9563100" y="1323975"/>
          <a:ext cx="1447800" cy="1819275"/>
        </a:xfrm>
        <a:prstGeom prst="rect">
          <a:avLst/>
        </a:prstGeom>
        <a:solidFill>
          <a:srgbClr val="FC9F1A"/>
        </a:solidFill>
        <a:ln w="9525">
          <a:solidFill>
            <a:srgbClr val="000000"/>
          </a:solidFill>
          <a:miter lim="800000"/>
          <a:headEnd/>
          <a:tailEnd/>
        </a:ln>
      </xdr:spPr>
      <xdr:txBody>
        <a:bodyPr vertOverflow="clip" wrap="square" lIns="27432" tIns="22860" rIns="0" bIns="0" anchor="t" upright="1"/>
        <a:lstStyle/>
        <a:p>
          <a:pPr algn="l" rtl="0">
            <a:defRPr sz="1000"/>
          </a:pPr>
          <a:r>
            <a:rPr lang="en-GB" sz="900" b="1" i="0" u="none" strike="noStrike" baseline="0">
              <a:solidFill>
                <a:srgbClr val="000000"/>
              </a:solidFill>
              <a:latin typeface="Arial"/>
              <a:cs typeface="Arial"/>
            </a:rPr>
            <a:t>Notes to be read in conjunction:</a:t>
          </a:r>
          <a:endParaRPr lang="en-GB" sz="900" b="0" i="0" u="none" strike="noStrike" baseline="0">
            <a:solidFill>
              <a:srgbClr val="000000"/>
            </a:solidFill>
            <a:latin typeface="Arial"/>
            <a:cs typeface="Arial"/>
          </a:endParaRPr>
        </a:p>
        <a:p>
          <a:pPr algn="l" rtl="0">
            <a:defRPr sz="1000"/>
          </a:pPr>
          <a:r>
            <a:rPr lang="en-GB" sz="900" b="0" i="0" u="none" strike="noStrike" baseline="0">
              <a:solidFill>
                <a:srgbClr val="000000"/>
              </a:solidFill>
              <a:latin typeface="Arial"/>
              <a:cs typeface="Arial"/>
            </a:rPr>
            <a:t>This cost estimate summary is an example only and should be altered to suit specific client or project requirements. A clear statement on the base date of the cost estimate and any inflationary inclusions should be clearly stated.</a:t>
          </a:r>
        </a:p>
      </xdr:txBody>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2105024</xdr:colOff>
      <xdr:row>0</xdr:row>
      <xdr:rowOff>28575</xdr:rowOff>
    </xdr:from>
    <xdr:to>
      <xdr:col>10</xdr:col>
      <xdr:colOff>3909821</xdr:colOff>
      <xdr:row>1</xdr:row>
      <xdr:rowOff>170508</xdr:rowOff>
    </xdr:to>
    <xdr:pic>
      <xdr:nvPicPr>
        <xdr:cNvPr id="5" name="Picture 4">
          <a:extLst>
            <a:ext uri="{FF2B5EF4-FFF2-40B4-BE49-F238E27FC236}">
              <a16:creationId xmlns:a16="http://schemas.microsoft.com/office/drawing/2014/main" id="{00000000-0008-0000-0F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58224" y="28575"/>
          <a:ext cx="1804797" cy="40863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8</xdr:col>
          <xdr:colOff>762000</xdr:colOff>
          <xdr:row>47</xdr:row>
          <xdr:rowOff>139700</xdr:rowOff>
        </xdr:to>
        <xdr:sp macro="" textlink="">
          <xdr:nvSpPr>
            <xdr:cNvPr id="164865" name="Object 1" hidden="1">
              <a:extLst>
                <a:ext uri="{63B3BB69-23CF-44E3-9099-C40C66FF867C}">
                  <a14:compatExt spid="_x0000_s164865"/>
                </a:ext>
                <a:ext uri="{FF2B5EF4-FFF2-40B4-BE49-F238E27FC236}">
                  <a16:creationId xmlns:a16="http://schemas.microsoft.com/office/drawing/2014/main" id="{00000000-0008-0000-1300-0000018402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57345" name="Chart 1">
          <a:extLst>
            <a:ext uri="{FF2B5EF4-FFF2-40B4-BE49-F238E27FC236}">
              <a16:creationId xmlns:a16="http://schemas.microsoft.com/office/drawing/2014/main" id="{00000000-0008-0000-0300-000001E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104775</xdr:colOff>
      <xdr:row>11</xdr:row>
      <xdr:rowOff>0</xdr:rowOff>
    </xdr:from>
    <xdr:to>
      <xdr:col>7</xdr:col>
      <xdr:colOff>257175</xdr:colOff>
      <xdr:row>24</xdr:row>
      <xdr:rowOff>19050</xdr:rowOff>
    </xdr:to>
    <xdr:grpSp>
      <xdr:nvGrpSpPr>
        <xdr:cNvPr id="57346" name="Group 3">
          <a:extLst>
            <a:ext uri="{FF2B5EF4-FFF2-40B4-BE49-F238E27FC236}">
              <a16:creationId xmlns:a16="http://schemas.microsoft.com/office/drawing/2014/main" id="{00000000-0008-0000-0300-000002E00000}"/>
            </a:ext>
          </a:extLst>
        </xdr:cNvPr>
        <xdr:cNvGrpSpPr>
          <a:grpSpLocks/>
        </xdr:cNvGrpSpPr>
      </xdr:nvGrpSpPr>
      <xdr:grpSpPr bwMode="auto">
        <a:xfrm>
          <a:off x="2209800" y="1857375"/>
          <a:ext cx="2419350" cy="2124075"/>
          <a:chOff x="960" y="82"/>
          <a:chExt cx="254" cy="223"/>
        </a:xfrm>
      </xdr:grpSpPr>
      <xdr:sp macro="" textlink="" fLocksText="0">
        <xdr:nvSpPr>
          <xdr:cNvPr id="57347" name="AutoShape 4">
            <a:extLst>
              <a:ext uri="{FF2B5EF4-FFF2-40B4-BE49-F238E27FC236}">
                <a16:creationId xmlns:a16="http://schemas.microsoft.com/office/drawing/2014/main" id="{00000000-0008-0000-0300-000003E00000}"/>
              </a:ext>
            </a:extLst>
          </xdr:cNvPr>
          <xdr:cNvSpPr>
            <a:spLocks noChangeArrowheads="1"/>
          </xdr:cNvSpPr>
        </xdr:nvSpPr>
        <xdr:spPr bwMode="auto">
          <a:xfrm>
            <a:off x="960" y="82"/>
            <a:ext cx="254" cy="223"/>
          </a:xfrm>
          <a:prstGeom prst="irregularSeal2">
            <a:avLst/>
          </a:prstGeom>
          <a:solidFill>
            <a:srgbClr val="FC9F1A"/>
          </a:solidFill>
          <a:ln w="9525">
            <a:solidFill>
              <a:srgbClr val="000000"/>
            </a:solidFill>
            <a:miter lim="800000"/>
            <a:headEnd/>
            <a:tailEnd/>
          </a:ln>
        </xdr:spPr>
      </xdr:sp>
      <xdr:sp macro="" textlink="">
        <xdr:nvSpPr>
          <xdr:cNvPr id="50181" name="Text Box 5">
            <a:extLst>
              <a:ext uri="{FF2B5EF4-FFF2-40B4-BE49-F238E27FC236}">
                <a16:creationId xmlns:a16="http://schemas.microsoft.com/office/drawing/2014/main" id="{00000000-0008-0000-0300-000005C40000}"/>
              </a:ext>
            </a:extLst>
          </xdr:cNvPr>
          <xdr:cNvSpPr txBox="1">
            <a:spLocks noChangeArrowheads="1"/>
          </xdr:cNvSpPr>
        </xdr:nvSpPr>
        <xdr:spPr bwMode="auto">
          <a:xfrm>
            <a:off x="1027" y="164"/>
            <a:ext cx="110" cy="65"/>
          </a:xfrm>
          <a:prstGeom prst="rect">
            <a:avLst/>
          </a:prstGeom>
          <a:noFill/>
          <a:ln w="9525">
            <a:noFill/>
            <a:miter lim="800000"/>
            <a:headEnd/>
            <a:tailEnd/>
          </a:ln>
        </xdr:spPr>
        <xdr:txBody>
          <a:bodyPr vertOverflow="clip" wrap="square" lIns="27432" tIns="22860" rIns="27432" bIns="0" anchor="t" upright="1"/>
          <a:lstStyle/>
          <a:p>
            <a:pPr algn="ctr" rtl="0">
              <a:defRPr sz="1000"/>
            </a:pPr>
            <a:r>
              <a:rPr lang="en-GB" sz="1100" b="0" i="0" u="none" strike="noStrike" baseline="0">
                <a:solidFill>
                  <a:srgbClr val="000000"/>
                </a:solidFill>
                <a:latin typeface="Arial"/>
                <a:cs typeface="Arial"/>
              </a:rPr>
              <a:t>Test data - REMOVE before use.</a:t>
            </a:r>
          </a:p>
        </xdr:txBody>
      </xdr:sp>
    </xdr:grpSp>
    <xdr:clientData fLocksWithSheet="0"/>
  </xdr:twoCellAnchor>
</xdr:wsDr>
</file>

<file path=xl/drawings/drawing3.xml><?xml version="1.0" encoding="utf-8"?>
<xdr:wsDr xmlns:xdr="http://schemas.openxmlformats.org/drawingml/2006/spreadsheetDrawing" xmlns:a="http://schemas.openxmlformats.org/drawingml/2006/main">
  <xdr:twoCellAnchor>
    <xdr:from>
      <xdr:col>6</xdr:col>
      <xdr:colOff>1057275</xdr:colOff>
      <xdr:row>9</xdr:row>
      <xdr:rowOff>76200</xdr:rowOff>
    </xdr:from>
    <xdr:to>
      <xdr:col>9</xdr:col>
      <xdr:colOff>133350</xdr:colOff>
      <xdr:row>22</xdr:row>
      <xdr:rowOff>104775</xdr:rowOff>
    </xdr:to>
    <xdr:grpSp>
      <xdr:nvGrpSpPr>
        <xdr:cNvPr id="59393" name="Group 2">
          <a:extLst>
            <a:ext uri="{FF2B5EF4-FFF2-40B4-BE49-F238E27FC236}">
              <a16:creationId xmlns:a16="http://schemas.microsoft.com/office/drawing/2014/main" id="{00000000-0008-0000-0400-000001E80000}"/>
            </a:ext>
          </a:extLst>
        </xdr:cNvPr>
        <xdr:cNvGrpSpPr>
          <a:grpSpLocks/>
        </xdr:cNvGrpSpPr>
      </xdr:nvGrpSpPr>
      <xdr:grpSpPr bwMode="auto">
        <a:xfrm>
          <a:off x="5200650" y="1781175"/>
          <a:ext cx="2419350" cy="2124075"/>
          <a:chOff x="960" y="82"/>
          <a:chExt cx="254" cy="223"/>
        </a:xfrm>
      </xdr:grpSpPr>
      <xdr:sp macro="" textlink="" fLocksText="0">
        <xdr:nvSpPr>
          <xdr:cNvPr id="59394" name="AutoShape 3">
            <a:extLst>
              <a:ext uri="{FF2B5EF4-FFF2-40B4-BE49-F238E27FC236}">
                <a16:creationId xmlns:a16="http://schemas.microsoft.com/office/drawing/2014/main" id="{00000000-0008-0000-0400-000002E80000}"/>
              </a:ext>
            </a:extLst>
          </xdr:cNvPr>
          <xdr:cNvSpPr>
            <a:spLocks noChangeArrowheads="1"/>
          </xdr:cNvSpPr>
        </xdr:nvSpPr>
        <xdr:spPr bwMode="auto">
          <a:xfrm>
            <a:off x="960" y="82"/>
            <a:ext cx="254" cy="223"/>
          </a:xfrm>
          <a:prstGeom prst="irregularSeal2">
            <a:avLst/>
          </a:prstGeom>
          <a:solidFill>
            <a:srgbClr val="FC9F1A"/>
          </a:solidFill>
          <a:ln w="9525">
            <a:solidFill>
              <a:srgbClr val="000000"/>
            </a:solidFill>
            <a:miter lim="800000"/>
            <a:headEnd/>
            <a:tailEnd/>
          </a:ln>
        </xdr:spPr>
      </xdr:sp>
      <xdr:sp macro="" textlink="">
        <xdr:nvSpPr>
          <xdr:cNvPr id="31748" name="Text Box 4">
            <a:extLst>
              <a:ext uri="{FF2B5EF4-FFF2-40B4-BE49-F238E27FC236}">
                <a16:creationId xmlns:a16="http://schemas.microsoft.com/office/drawing/2014/main" id="{00000000-0008-0000-0400-0000047C0000}"/>
              </a:ext>
            </a:extLst>
          </xdr:cNvPr>
          <xdr:cNvSpPr txBox="1">
            <a:spLocks noChangeArrowheads="1"/>
          </xdr:cNvSpPr>
        </xdr:nvSpPr>
        <xdr:spPr bwMode="auto">
          <a:xfrm>
            <a:off x="1027" y="164"/>
            <a:ext cx="110" cy="65"/>
          </a:xfrm>
          <a:prstGeom prst="rect">
            <a:avLst/>
          </a:prstGeom>
          <a:noFill/>
          <a:ln w="9525">
            <a:noFill/>
            <a:miter lim="800000"/>
            <a:headEnd/>
            <a:tailEnd/>
          </a:ln>
        </xdr:spPr>
        <xdr:txBody>
          <a:bodyPr vertOverflow="clip" wrap="square" lIns="27432" tIns="22860" rIns="27432" bIns="0" anchor="t" upright="1"/>
          <a:lstStyle/>
          <a:p>
            <a:pPr algn="ctr" rtl="0">
              <a:defRPr sz="1000"/>
            </a:pPr>
            <a:r>
              <a:rPr lang="en-GB" sz="1100" b="0" i="0" u="none" strike="noStrike" baseline="0">
                <a:solidFill>
                  <a:srgbClr val="000000"/>
                </a:solidFill>
                <a:latin typeface="Arial"/>
                <a:cs typeface="Arial"/>
              </a:rPr>
              <a:t>Test data - REMOVE before use.</a:t>
            </a:r>
          </a:p>
        </xdr:txBody>
      </xdr:sp>
    </xdr:grp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5</xdr:col>
      <xdr:colOff>123825</xdr:colOff>
      <xdr:row>5</xdr:row>
      <xdr:rowOff>152400</xdr:rowOff>
    </xdr:from>
    <xdr:to>
      <xdr:col>13</xdr:col>
      <xdr:colOff>114300</xdr:colOff>
      <xdr:row>30</xdr:row>
      <xdr:rowOff>19050</xdr:rowOff>
    </xdr:to>
    <xdr:graphicFrame macro="">
      <xdr:nvGraphicFramePr>
        <xdr:cNvPr id="46089" name="Chart 1">
          <a:extLst>
            <a:ext uri="{FF2B5EF4-FFF2-40B4-BE49-F238E27FC236}">
              <a16:creationId xmlns:a16="http://schemas.microsoft.com/office/drawing/2014/main" id="{00000000-0008-0000-0800-000009B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247650</xdr:colOff>
      <xdr:row>0</xdr:row>
      <xdr:rowOff>228600</xdr:rowOff>
    </xdr:from>
    <xdr:to>
      <xdr:col>17</xdr:col>
      <xdr:colOff>304800</xdr:colOff>
      <xdr:row>14</xdr:row>
      <xdr:rowOff>104775</xdr:rowOff>
    </xdr:to>
    <xdr:sp macro="" textlink="">
      <xdr:nvSpPr>
        <xdr:cNvPr id="46087" name="Text Box 7">
          <a:extLst>
            <a:ext uri="{FF2B5EF4-FFF2-40B4-BE49-F238E27FC236}">
              <a16:creationId xmlns:a16="http://schemas.microsoft.com/office/drawing/2014/main" id="{00000000-0008-0000-0800-000007B40000}"/>
            </a:ext>
          </a:extLst>
        </xdr:cNvPr>
        <xdr:cNvSpPr txBox="1">
          <a:spLocks noChangeArrowheads="1"/>
        </xdr:cNvSpPr>
      </xdr:nvSpPr>
      <xdr:spPr bwMode="auto">
        <a:xfrm>
          <a:off x="8543925" y="228600"/>
          <a:ext cx="3048000" cy="2247900"/>
        </a:xfrm>
        <a:prstGeom prst="rect">
          <a:avLst/>
        </a:prstGeom>
        <a:solidFill>
          <a:srgbClr val="FC9F1A"/>
        </a:solidFill>
        <a:ln w="9525">
          <a:solidFill>
            <a:srgbClr val="000000"/>
          </a:solidFill>
          <a:miter lim="800000"/>
          <a:headEnd/>
          <a:tailEnd/>
        </a:ln>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Enter Start date (J3) Completion date (J4) maximum of 30 months. Dates in ColC are generated from the Start date.</a:t>
          </a:r>
        </a:p>
        <a:p>
          <a:pPr algn="l" rtl="0">
            <a:defRPr sz="1000"/>
          </a:pPr>
          <a:r>
            <a:rPr lang="en-GB" sz="1000" b="0" i="0" u="none" strike="noStrike" baseline="0">
              <a:solidFill>
                <a:srgbClr val="000000"/>
              </a:solidFill>
              <a:latin typeface="Arial"/>
              <a:cs typeface="Arial"/>
            </a:rPr>
            <a:t>Enter projected monthly spend in ColD</a:t>
          </a:r>
        </a:p>
        <a:p>
          <a:pPr algn="l" rtl="0">
            <a:defRPr sz="1000"/>
          </a:pPr>
          <a:r>
            <a:rPr lang="en-GB" sz="1000" b="0" i="0" u="none" strike="noStrike" baseline="0">
              <a:solidFill>
                <a:srgbClr val="000000"/>
              </a:solidFill>
              <a:latin typeface="Arial"/>
              <a:cs typeface="Arial"/>
            </a:rPr>
            <a:t>Dates and Cumulative totals are automatic</a:t>
          </a:r>
        </a:p>
        <a:p>
          <a:pPr algn="l" rtl="0">
            <a:defRPr sz="1000"/>
          </a:pPr>
          <a:r>
            <a:rPr lang="en-GB" sz="1000" b="0" i="0" u="none" strike="noStrike" baseline="0">
              <a:solidFill>
                <a:srgbClr val="000000"/>
              </a:solidFill>
              <a:latin typeface="Arial"/>
              <a:cs typeface="Arial"/>
            </a:rPr>
            <a:t>Column E is automatically completed when you enter Project Monthly values in ColD. </a:t>
          </a:r>
        </a:p>
        <a:p>
          <a:pPr algn="l" rtl="0">
            <a:defRPr sz="1000"/>
          </a:pPr>
          <a:r>
            <a:rPr lang="en-GB" sz="1000" b="1" i="0" u="none" strike="noStrike" baseline="0">
              <a:solidFill>
                <a:srgbClr val="000000"/>
              </a:solidFill>
              <a:latin typeface="Arial"/>
              <a:cs typeface="Arial"/>
            </a:rPr>
            <a:t>IMPORTANT NOTE</a:t>
          </a:r>
        </a:p>
        <a:p>
          <a:pPr algn="l" rtl="0">
            <a:defRPr sz="1000"/>
          </a:pPr>
          <a:r>
            <a:rPr lang="en-GB" sz="1000" b="1" i="0" u="none" strike="noStrike" baseline="0">
              <a:solidFill>
                <a:srgbClr val="000000"/>
              </a:solidFill>
              <a:latin typeface="Arial"/>
              <a:cs typeface="Arial"/>
            </a:rPr>
            <a:t>YOU MAY NEED TO INSTALL AN EXCEL ADD-IN</a:t>
          </a:r>
        </a:p>
        <a:p>
          <a:pPr algn="l" rtl="0">
            <a:defRPr sz="1000"/>
          </a:pPr>
          <a:r>
            <a:rPr lang="en-GB" sz="1000" b="1" i="0" u="none" strike="noStrike" baseline="0">
              <a:solidFill>
                <a:srgbClr val="000000"/>
              </a:solidFill>
              <a:latin typeface="Arial"/>
              <a:cs typeface="Arial"/>
            </a:rPr>
            <a:t>Goto Tools/Add-Ins.../ and select Analysis ToolPak</a:t>
          </a:r>
        </a:p>
        <a:p>
          <a:pPr algn="l" rtl="0">
            <a:defRPr sz="1000"/>
          </a:pPr>
          <a:r>
            <a:rPr lang="en-GB" sz="1000" b="1" i="0" u="none" strike="noStrike" baseline="0">
              <a:solidFill>
                <a:srgbClr val="000000"/>
              </a:solidFill>
              <a:latin typeface="Arial"/>
              <a:cs typeface="Arial"/>
            </a:rPr>
            <a:t>(usually the first on the list)</a:t>
          </a:r>
        </a:p>
      </xdr:txBody>
    </xdr:sp>
    <xdr:clientData fPrintsWithSheet="0"/>
  </xdr:twoCellAnchor>
  <xdr:twoCellAnchor>
    <xdr:from>
      <xdr:col>4</xdr:col>
      <xdr:colOff>790575</xdr:colOff>
      <xdr:row>31</xdr:row>
      <xdr:rowOff>28575</xdr:rowOff>
    </xdr:from>
    <xdr:to>
      <xdr:col>8</xdr:col>
      <xdr:colOff>333375</xdr:colOff>
      <xdr:row>45</xdr:row>
      <xdr:rowOff>19050</xdr:rowOff>
    </xdr:to>
    <xdr:grpSp>
      <xdr:nvGrpSpPr>
        <xdr:cNvPr id="46091" name="Group 40">
          <a:extLst>
            <a:ext uri="{FF2B5EF4-FFF2-40B4-BE49-F238E27FC236}">
              <a16:creationId xmlns:a16="http://schemas.microsoft.com/office/drawing/2014/main" id="{00000000-0008-0000-0800-00000BB40000}"/>
            </a:ext>
          </a:extLst>
        </xdr:cNvPr>
        <xdr:cNvGrpSpPr>
          <a:grpSpLocks/>
        </xdr:cNvGrpSpPr>
      </xdr:nvGrpSpPr>
      <xdr:grpSpPr bwMode="auto">
        <a:xfrm>
          <a:off x="2733675" y="4991100"/>
          <a:ext cx="2419350" cy="2124075"/>
          <a:chOff x="960" y="82"/>
          <a:chExt cx="254" cy="223"/>
        </a:xfrm>
      </xdr:grpSpPr>
      <xdr:sp macro="" textlink="" fLocksText="0">
        <xdr:nvSpPr>
          <xdr:cNvPr id="46092" name="AutoShape 41">
            <a:extLst>
              <a:ext uri="{FF2B5EF4-FFF2-40B4-BE49-F238E27FC236}">
                <a16:creationId xmlns:a16="http://schemas.microsoft.com/office/drawing/2014/main" id="{00000000-0008-0000-0800-00000CB40000}"/>
              </a:ext>
            </a:extLst>
          </xdr:cNvPr>
          <xdr:cNvSpPr>
            <a:spLocks noChangeArrowheads="1"/>
          </xdr:cNvSpPr>
        </xdr:nvSpPr>
        <xdr:spPr bwMode="auto">
          <a:xfrm>
            <a:off x="960" y="82"/>
            <a:ext cx="254" cy="223"/>
          </a:xfrm>
          <a:prstGeom prst="irregularSeal2">
            <a:avLst/>
          </a:prstGeom>
          <a:solidFill>
            <a:srgbClr val="FC9F1A"/>
          </a:solidFill>
          <a:ln w="9525">
            <a:solidFill>
              <a:srgbClr val="000000"/>
            </a:solidFill>
            <a:miter lim="800000"/>
            <a:headEnd/>
            <a:tailEnd/>
          </a:ln>
        </xdr:spPr>
      </xdr:sp>
      <xdr:sp macro="" textlink="">
        <xdr:nvSpPr>
          <xdr:cNvPr id="46122" name="Text Box 42">
            <a:extLst>
              <a:ext uri="{FF2B5EF4-FFF2-40B4-BE49-F238E27FC236}">
                <a16:creationId xmlns:a16="http://schemas.microsoft.com/office/drawing/2014/main" id="{00000000-0008-0000-0800-00002AB40000}"/>
              </a:ext>
            </a:extLst>
          </xdr:cNvPr>
          <xdr:cNvSpPr txBox="1">
            <a:spLocks noChangeArrowheads="1"/>
          </xdr:cNvSpPr>
        </xdr:nvSpPr>
        <xdr:spPr bwMode="auto">
          <a:xfrm>
            <a:off x="1027" y="164"/>
            <a:ext cx="110" cy="65"/>
          </a:xfrm>
          <a:prstGeom prst="rect">
            <a:avLst/>
          </a:prstGeom>
          <a:noFill/>
          <a:ln w="9525">
            <a:noFill/>
            <a:miter lim="800000"/>
            <a:headEnd/>
            <a:tailEnd/>
          </a:ln>
        </xdr:spPr>
        <xdr:txBody>
          <a:bodyPr vertOverflow="clip" wrap="square" lIns="27432" tIns="22860" rIns="27432" bIns="0" anchor="t" upright="1"/>
          <a:lstStyle/>
          <a:p>
            <a:pPr algn="ctr" rtl="0">
              <a:defRPr sz="1000"/>
            </a:pPr>
            <a:r>
              <a:rPr lang="en-GB" sz="1100" b="0" i="0" u="none" strike="noStrike" baseline="0">
                <a:solidFill>
                  <a:srgbClr val="000000"/>
                </a:solidFill>
                <a:latin typeface="Arial"/>
                <a:cs typeface="Arial"/>
              </a:rPr>
              <a:t>Test data - REMOVE before use.</a:t>
            </a:r>
          </a:p>
        </xdr:txBody>
      </xdr:sp>
    </xdr:grpSp>
    <xdr:clientData fLocksWithSheet="0"/>
  </xdr:twoCellAnchor>
</xdr:wsDr>
</file>

<file path=xl/drawings/drawing5.xml><?xml version="1.0" encoding="utf-8"?>
<xdr:wsDr xmlns:xdr="http://schemas.openxmlformats.org/drawingml/2006/spreadsheetDrawing" xmlns:a="http://schemas.openxmlformats.org/drawingml/2006/main">
  <xdr:twoCellAnchor editAs="oneCell">
    <xdr:from>
      <xdr:col>9</xdr:col>
      <xdr:colOff>809625</xdr:colOff>
      <xdr:row>0</xdr:row>
      <xdr:rowOff>32430</xdr:rowOff>
    </xdr:from>
    <xdr:to>
      <xdr:col>10</xdr:col>
      <xdr:colOff>5589</xdr:colOff>
      <xdr:row>3</xdr:row>
      <xdr:rowOff>103</xdr:rowOff>
    </xdr:to>
    <xdr:pic>
      <xdr:nvPicPr>
        <xdr:cNvPr id="3" name="Picture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39000" y="32430"/>
          <a:ext cx="2448686" cy="853498"/>
        </a:xfrm>
        <a:prstGeom prst="rect">
          <a:avLst/>
        </a:prstGeom>
      </xdr:spPr>
    </xdr:pic>
    <xdr:clientData/>
  </xdr:twoCellAnchor>
  <xdr:twoCellAnchor editAs="oneCell">
    <xdr:from>
      <xdr:col>2</xdr:col>
      <xdr:colOff>173873</xdr:colOff>
      <xdr:row>1</xdr:row>
      <xdr:rowOff>19049</xdr:rowOff>
    </xdr:from>
    <xdr:to>
      <xdr:col>2</xdr:col>
      <xdr:colOff>2096261</xdr:colOff>
      <xdr:row>2</xdr:row>
      <xdr:rowOff>491547</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50773" y="238124"/>
          <a:ext cx="1922388" cy="67252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809625</xdr:colOff>
      <xdr:row>0</xdr:row>
      <xdr:rowOff>32430</xdr:rowOff>
    </xdr:from>
    <xdr:to>
      <xdr:col>10</xdr:col>
      <xdr:colOff>761</xdr:colOff>
      <xdr:row>2</xdr:row>
      <xdr:rowOff>476353</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39000" y="32430"/>
          <a:ext cx="2448686" cy="85349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809625</xdr:colOff>
      <xdr:row>0</xdr:row>
      <xdr:rowOff>32430</xdr:rowOff>
    </xdr:from>
    <xdr:to>
      <xdr:col>8</xdr:col>
      <xdr:colOff>761</xdr:colOff>
      <xdr:row>2</xdr:row>
      <xdr:rowOff>472543</xdr:rowOff>
    </xdr:to>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39000" y="32430"/>
          <a:ext cx="2448686" cy="85349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9</xdr:col>
      <xdr:colOff>1438274</xdr:colOff>
      <xdr:row>0</xdr:row>
      <xdr:rowOff>28575</xdr:rowOff>
    </xdr:from>
    <xdr:to>
      <xdr:col>9</xdr:col>
      <xdr:colOff>3243071</xdr:colOff>
      <xdr:row>1</xdr:row>
      <xdr:rowOff>170508</xdr:rowOff>
    </xdr:to>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00974" y="28575"/>
          <a:ext cx="1804797" cy="40863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18</xdr:col>
      <xdr:colOff>681789</xdr:colOff>
      <xdr:row>0</xdr:row>
      <xdr:rowOff>10026</xdr:rowOff>
    </xdr:from>
    <xdr:to>
      <xdr:col>20</xdr:col>
      <xdr:colOff>498070</xdr:colOff>
      <xdr:row>2</xdr:row>
      <xdr:rowOff>96696</xdr:rowOff>
    </xdr:to>
    <xdr:pic>
      <xdr:nvPicPr>
        <xdr:cNvPr id="3" name="Pictur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1865389" y="10026"/>
          <a:ext cx="1416481" cy="486720"/>
        </a:xfrm>
        <a:prstGeom prst="rect">
          <a:avLst/>
        </a:prstGeom>
      </xdr:spPr>
    </xdr:pic>
    <xdr:clientData/>
  </xdr:twoCellAnchor>
  <xdr:twoCellAnchor editAs="oneCell">
    <xdr:from>
      <xdr:col>5</xdr:col>
      <xdr:colOff>0</xdr:colOff>
      <xdr:row>0</xdr:row>
      <xdr:rowOff>0</xdr:rowOff>
    </xdr:from>
    <xdr:to>
      <xdr:col>5</xdr:col>
      <xdr:colOff>1266</xdr:colOff>
      <xdr:row>2</xdr:row>
      <xdr:rowOff>123543</xdr:rowOff>
    </xdr:to>
    <xdr:pic>
      <xdr:nvPicPr>
        <xdr:cNvPr id="4" name="Picture 3">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1"/>
        <a:stretch>
          <a:fillRect/>
        </a:stretch>
      </xdr:blipFill>
      <xdr:spPr>
        <a:xfrm>
          <a:off x="6858000" y="0"/>
          <a:ext cx="1266" cy="523593"/>
        </a:xfrm>
        <a:prstGeom prst="rect">
          <a:avLst/>
        </a:prstGeom>
      </xdr:spPr>
    </xdr:pic>
    <xdr:clientData/>
  </xdr:twoCellAnchor>
  <xdr:oneCellAnchor>
    <xdr:from>
      <xdr:col>5</xdr:col>
      <xdr:colOff>0</xdr:colOff>
      <xdr:row>0</xdr:row>
      <xdr:rowOff>0</xdr:rowOff>
    </xdr:from>
    <xdr:ext cx="1400" cy="73830"/>
    <xdr:pic>
      <xdr:nvPicPr>
        <xdr:cNvPr id="5" name="Picture 4" descr="Davis_Langdon_-_black_and_white_logo_-_A4_size[1].jpg">
          <a:extLst>
            <a:ext uri="{FF2B5EF4-FFF2-40B4-BE49-F238E27FC236}">
              <a16:creationId xmlns:a16="http://schemas.microsoft.com/office/drawing/2014/main" id="{00000000-0008-0000-0E00-000005000000}"/>
            </a:ext>
          </a:extLst>
        </xdr:cNvPr>
        <xdr:cNvPicPr>
          <a:picLocks noChangeAspect="1"/>
        </xdr:cNvPicPr>
      </xdr:nvPicPr>
      <xdr:blipFill>
        <a:blip xmlns:r="http://schemas.openxmlformats.org/officeDocument/2006/relationships" r:embed="rId2" cstate="print"/>
        <a:stretch>
          <a:fillRect/>
        </a:stretch>
      </xdr:blipFill>
      <xdr:spPr>
        <a:xfrm>
          <a:off x="6858000" y="0"/>
          <a:ext cx="1400" cy="73830"/>
        </a:xfrm>
        <a:prstGeom prst="rect">
          <a:avLst/>
        </a:prstGeom>
      </xdr:spPr>
    </xdr:pic>
    <xdr:clientData/>
  </xdr:oneCellAnchor>
  <xdr:oneCellAnchor>
    <xdr:from>
      <xdr:col>2</xdr:col>
      <xdr:colOff>0</xdr:colOff>
      <xdr:row>0</xdr:row>
      <xdr:rowOff>0</xdr:rowOff>
    </xdr:from>
    <xdr:ext cx="1266" cy="522590"/>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a:stretch>
          <a:fillRect/>
        </a:stretch>
      </xdr:blipFill>
      <xdr:spPr>
        <a:xfrm>
          <a:off x="4600575" y="0"/>
          <a:ext cx="1266" cy="522590"/>
        </a:xfrm>
        <a:prstGeom prst="rect">
          <a:avLst/>
        </a:prstGeom>
      </xdr:spPr>
    </xdr:pic>
    <xdr:clientData/>
  </xdr:oneCellAnchor>
  <xdr:twoCellAnchor editAs="oneCell">
    <xdr:from>
      <xdr:col>11</xdr:col>
      <xdr:colOff>3175000</xdr:colOff>
      <xdr:row>0</xdr:row>
      <xdr:rowOff>38100</xdr:rowOff>
    </xdr:from>
    <xdr:to>
      <xdr:col>11</xdr:col>
      <xdr:colOff>4297118</xdr:colOff>
      <xdr:row>1</xdr:row>
      <xdr:rowOff>87934</xdr:rowOff>
    </xdr:to>
    <xdr:pic>
      <xdr:nvPicPr>
        <xdr:cNvPr id="7" name="Picture 6">
          <a:extLst>
            <a:ext uri="{FF2B5EF4-FFF2-40B4-BE49-F238E27FC236}">
              <a16:creationId xmlns:a16="http://schemas.microsoft.com/office/drawing/2014/main" id="{00000000-0008-0000-0E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024100" y="38100"/>
          <a:ext cx="1122118" cy="25303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mmit.davislangdon-uk.com/NR/rdonlyres/99B8F9BD-DB5B-4867-830B-1F51018B2B48/0/Packaged%20Cost%20Report%20(version%203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edmsbir.dluk.net/pinnacle/063347/Main/J%20-%20Estimates/02%20Other%20Estimates%20and%20Cost%20Exercises/02%20Bus%20Interchange/2009%2009%2014%20Cost%20Report%20Nr%20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Projects/Live/60487488%20%20RRMC%20Feasibilities%202016/J%20-%20Estimates/01%20Full%20Estimates%20and%20Cost%20Plans/2016%20Offices/2016.03%20Options%202a,%202b,%204a%20&amp;%204b/2016%2003%2015%20Office%20Estimates.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edmssou.dluk.net/108520%20Fulham%20Stadium/Cost%20Plans/Scheme%20design/no%20calc%20shown%20cost%20pla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mlt19078/Desktop/BROOKLANDS%20RISK/2013%2005%2003%20Barnet%20LLDD%20Cost%20Plan%20Nr%203%20St%20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dmsbir.dluk.net/pinnacle/54545/Main/L%20-%20DL%20Reports/02%20Cost%20Management/00%20UoS%20Project%20Budget%20Reports/MCE%20Cost%20Report%20Nr.3/2009%2009%2014%20Cost%20Report%20Nr%2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BHRFAP001\Group$\windows\TEMP\OLEBID6RTdb.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mssou.dluk.net\Pinnacle\Documents%20and%20Settings\JL27662\Local%20Settings\Temporary%20Internet%20Files\OLK25D\LR%20ME%20Cost%20Plan%2008%2006%201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md26820/My%20Documents/2013%2005%2003%20Barnet%20LLDD%20Cost%20Plan%20Nr%203%20St%20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Projects/Live/60246653%20BCA/J%20-%20Estimates/01%20Full%20Estimates%20and%20Cost%20Plans/05%20VRC%20-%20ERG/2012%2008%2030%20BCA%20VRC%20Cost%20Plan%20Nr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edmsbir.dluk.net/pinnacle/063347/Main/J%20-%20Estimates/02%20Other%20Estimates%20and%20Cost%20Exercises/01%20B45%20Refurbishment/2009%2009%2017%20B45%20Refurb%20Option%20Estimate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WBHRFAP001\Group$\ESTIMATE\Stage%20C\Target%20Costs\SCHEDULE%2011%20BROWN%20BOOK_080301\15_Sec%2012_Materials_OLE\StageCboqroutesum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WBHRFAP001\Group$\ESTIMATE\Stage%20C\Target%20Costs\SCHEDULE%2011%20BROWN%20BOOK_080301\15_Sec%2012_Materials_OLE\olematls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Notes"/>
      <sheetName val="Cover"/>
      <sheetName val="QA"/>
      <sheetName val="Contents"/>
      <sheetName val="1-Executive Summary"/>
      <sheetName val="2-Cash Flow"/>
      <sheetName val="3-Basis and Assumptions"/>
      <sheetName val="4-Exclusions"/>
      <sheetName val="Contract Summary"/>
      <sheetName val="Valuations"/>
      <sheetName val="template"/>
      <sheetName val="Project Page"/>
      <sheetName val="Abnormals"/>
      <sheetName val="DATA INPUT"/>
      <sheetName val="Fit Out Cost Matrix"/>
      <sheetName val="Construction"/>
      <sheetName val="elements"/>
      <sheetName val="Report"/>
      <sheetName val="Preliminaries"/>
      <sheetName val="Elemental oview"/>
    </sheetNames>
    <sheetDataSet>
      <sheetData sheetId="0"/>
      <sheetData sheetId="1"/>
      <sheetData sheetId="2"/>
      <sheetData sheetId="3"/>
      <sheetData sheetId="4"/>
      <sheetData sheetId="5"/>
      <sheetData sheetId="6" refreshError="1">
        <row r="41">
          <cell r="E41" t="str">
            <v>MAIN CONTRACT</v>
          </cell>
        </row>
        <row r="43">
          <cell r="E43">
            <v>39114</v>
          </cell>
        </row>
        <row r="44">
          <cell r="E44">
            <v>12</v>
          </cell>
          <cell r="F44" t="str">
            <v>months</v>
          </cell>
        </row>
        <row r="45">
          <cell r="E45">
            <v>39479</v>
          </cell>
        </row>
        <row r="46">
          <cell r="E46">
            <v>0.05</v>
          </cell>
          <cell r="F46" t="str">
            <v>(0% for gross calculations)</v>
          </cell>
        </row>
        <row r="47">
          <cell r="E47">
            <v>12</v>
          </cell>
          <cell r="F47" t="str">
            <v>months</v>
          </cell>
        </row>
        <row r="51">
          <cell r="E51" t="str">
            <v>ACTUAL</v>
          </cell>
        </row>
        <row r="52">
          <cell r="E52" t="str">
            <v>Actual Cumulative</v>
          </cell>
          <cell r="F52" t="str">
            <v>Actual Monthly</v>
          </cell>
        </row>
        <row r="53">
          <cell r="E53" t="e">
            <v>#N/A</v>
          </cell>
        </row>
        <row r="54">
          <cell r="E54" t="e">
            <v>#N/A</v>
          </cell>
        </row>
        <row r="55">
          <cell r="E55" t="e">
            <v>#N/A</v>
          </cell>
        </row>
        <row r="56">
          <cell r="E56" t="e">
            <v>#N/A</v>
          </cell>
        </row>
        <row r="57">
          <cell r="E57" t="e">
            <v>#N/A</v>
          </cell>
        </row>
        <row r="58">
          <cell r="E58" t="e">
            <v>#N/A</v>
          </cell>
        </row>
        <row r="59">
          <cell r="E59" t="e">
            <v>#N/A</v>
          </cell>
        </row>
        <row r="60">
          <cell r="E60" t="e">
            <v>#N/A</v>
          </cell>
        </row>
        <row r="61">
          <cell r="E61" t="e">
            <v>#N/A</v>
          </cell>
        </row>
        <row r="62">
          <cell r="E62" t="e">
            <v>#N/A</v>
          </cell>
        </row>
        <row r="63">
          <cell r="E63" t="e">
            <v>#N/A</v>
          </cell>
        </row>
        <row r="64">
          <cell r="E64" t="e">
            <v>#N/A</v>
          </cell>
        </row>
        <row r="65">
          <cell r="E65" t="e">
            <v>#N/A</v>
          </cell>
        </row>
        <row r="66">
          <cell r="E66" t="e">
            <v>#N/A</v>
          </cell>
        </row>
        <row r="67">
          <cell r="E67" t="e">
            <v>#N/A</v>
          </cell>
        </row>
        <row r="68">
          <cell r="E68" t="e">
            <v>#N/A</v>
          </cell>
        </row>
        <row r="69">
          <cell r="E69" t="e">
            <v>#N/A</v>
          </cell>
        </row>
        <row r="70">
          <cell r="E70" t="e">
            <v>#N/A</v>
          </cell>
        </row>
        <row r="71">
          <cell r="E71" t="e">
            <v>#N/A</v>
          </cell>
        </row>
        <row r="72">
          <cell r="E72" t="e">
            <v>#N/A</v>
          </cell>
        </row>
        <row r="73">
          <cell r="E73" t="e">
            <v>#N/A</v>
          </cell>
        </row>
        <row r="74">
          <cell r="E74" t="e">
            <v>#N/A</v>
          </cell>
        </row>
        <row r="75">
          <cell r="E75" t="e">
            <v>#N/A</v>
          </cell>
        </row>
        <row r="76">
          <cell r="E76" t="e">
            <v>#N/A</v>
          </cell>
        </row>
        <row r="77">
          <cell r="E77" t="e">
            <v>#N/A</v>
          </cell>
        </row>
        <row r="79">
          <cell r="E79"/>
        </row>
        <row r="80">
          <cell r="E80"/>
        </row>
        <row r="81">
          <cell r="E81"/>
        </row>
        <row r="82">
          <cell r="E82"/>
        </row>
        <row r="83">
          <cell r="E83"/>
        </row>
        <row r="84">
          <cell r="E84"/>
        </row>
        <row r="85">
          <cell r="E85"/>
        </row>
        <row r="86">
          <cell r="E86"/>
        </row>
        <row r="87">
          <cell r="E87"/>
        </row>
        <row r="88">
          <cell r="E88"/>
        </row>
        <row r="89">
          <cell r="E89"/>
        </row>
        <row r="90">
          <cell r="E90"/>
        </row>
        <row r="91">
          <cell r="E91"/>
        </row>
        <row r="92">
          <cell r="E92"/>
        </row>
        <row r="93">
          <cell r="E93"/>
        </row>
        <row r="94">
          <cell r="E94"/>
        </row>
        <row r="95">
          <cell r="E95"/>
        </row>
        <row r="96">
          <cell r="E96"/>
        </row>
        <row r="97">
          <cell r="E97"/>
        </row>
        <row r="98">
          <cell r="E98"/>
        </row>
        <row r="99">
          <cell r="E99"/>
        </row>
        <row r="100">
          <cell r="E100"/>
        </row>
        <row r="101">
          <cell r="E101"/>
        </row>
        <row r="102">
          <cell r="E102"/>
        </row>
        <row r="103">
          <cell r="E103"/>
        </row>
        <row r="104">
          <cell r="E104"/>
        </row>
        <row r="105">
          <cell r="E105"/>
        </row>
        <row r="106">
          <cell r="E106"/>
        </row>
        <row r="107">
          <cell r="E107"/>
        </row>
        <row r="108">
          <cell r="E108"/>
        </row>
        <row r="109">
          <cell r="E109"/>
        </row>
        <row r="110">
          <cell r="E110"/>
        </row>
        <row r="111">
          <cell r="E111"/>
        </row>
        <row r="112">
          <cell r="E112"/>
        </row>
      </sheetData>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Front Cover"/>
      <sheetName val="QA"/>
      <sheetName val="Contents"/>
      <sheetName val="1.0 Executive Summary"/>
      <sheetName val="2.0 Variations Instructed PMI"/>
      <sheetName val="3.0 CVI (Anticipated)"/>
      <sheetName val="3.2 Others (Anticipated)"/>
      <sheetName val="4.0 Provisional sums"/>
      <sheetName val="5.0 Prog &amp; Payments"/>
      <sheetName val="6.0 Cash Flow"/>
    </sheetNames>
    <sheetDataSet>
      <sheetData sheetId="0">
        <row r="53">
          <cell r="E53" t="str">
            <v>University of Southampton</v>
          </cell>
        </row>
        <row r="54">
          <cell r="E54" t="str">
            <v>Cost Report</v>
          </cell>
        </row>
        <row r="57">
          <cell r="C57"/>
        </row>
        <row r="60">
          <cell r="E60">
            <v>0</v>
          </cell>
        </row>
      </sheetData>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Notes"/>
      <sheetName val="Cover"/>
      <sheetName val="Document Issue Sheet"/>
      <sheetName val="Contents"/>
      <sheetName val="1.0 Executive Summary"/>
      <sheetName val="2.0 Cost Plan (Model) Summary"/>
      <sheetName val="2.1 Option 1"/>
      <sheetName val="2.2 Option 2a"/>
      <sheetName val="2.3 Option 2b"/>
      <sheetName val="2.4 Option 3"/>
      <sheetName val="2.5 Option 4"/>
      <sheetName val="3.0 Basis and Assumptions"/>
      <sheetName val="4.0 Exclusions"/>
      <sheetName val="5.0 Benchmarking Analysis 1"/>
      <sheetName val="5.0 Benchmarking Analysis 2"/>
      <sheetName val="5.0 Benchmarking Analysis 3"/>
      <sheetName val="6.0 Key Parameters"/>
      <sheetName val="7.0 Risks and Opportunities"/>
      <sheetName val="8.0 Outline Specification"/>
      <sheetName val="9.0 Schedule of Floor Areas"/>
      <sheetName val="Cash Flow"/>
      <sheetName val="5.0 Area Summary"/>
      <sheetName val="Back cover"/>
      <sheetName val="Appendix A"/>
    </sheetNames>
    <sheetDataSet>
      <sheetData sheetId="0"/>
      <sheetData sheetId="1">
        <row r="30">
          <cell r="E30" t="str">
            <v>Rolls-Royce Motor Cars Limited</v>
          </cell>
        </row>
      </sheetData>
      <sheetData sheetId="2"/>
      <sheetData sheetId="3"/>
      <sheetData sheetId="4">
        <row r="6">
          <cell r="B6" t="str">
            <v>Executive Summary</v>
          </cell>
        </row>
      </sheetData>
      <sheetData sheetId="5">
        <row r="39">
          <cell r="F39">
            <v>0.2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J4">
            <v>39722</v>
          </cell>
        </row>
        <row r="7">
          <cell r="C7">
            <v>39479</v>
          </cell>
        </row>
        <row r="8">
          <cell r="C8">
            <v>39508</v>
          </cell>
        </row>
        <row r="9">
          <cell r="C9">
            <v>39539</v>
          </cell>
        </row>
        <row r="10">
          <cell r="C10">
            <v>39569</v>
          </cell>
        </row>
        <row r="11">
          <cell r="C11">
            <v>39600</v>
          </cell>
        </row>
        <row r="12">
          <cell r="C12">
            <v>39630</v>
          </cell>
        </row>
        <row r="13">
          <cell r="C13">
            <v>39661</v>
          </cell>
        </row>
        <row r="14">
          <cell r="C14">
            <v>39692</v>
          </cell>
        </row>
        <row r="15">
          <cell r="C15">
            <v>39722</v>
          </cell>
        </row>
        <row r="16">
          <cell r="C16"/>
        </row>
        <row r="17">
          <cell r="C17"/>
        </row>
        <row r="18">
          <cell r="C18"/>
        </row>
        <row r="19">
          <cell r="C19"/>
        </row>
        <row r="20">
          <cell r="C20"/>
        </row>
        <row r="21">
          <cell r="C21"/>
        </row>
        <row r="22">
          <cell r="C22"/>
        </row>
        <row r="23">
          <cell r="C23"/>
        </row>
        <row r="24">
          <cell r="C24"/>
        </row>
        <row r="25">
          <cell r="C25"/>
        </row>
        <row r="26">
          <cell r="C26"/>
        </row>
        <row r="27">
          <cell r="C27"/>
        </row>
        <row r="28">
          <cell r="C28"/>
        </row>
        <row r="29">
          <cell r="C29"/>
        </row>
        <row r="30">
          <cell r="C30"/>
        </row>
        <row r="31">
          <cell r="C31"/>
        </row>
        <row r="32">
          <cell r="C32"/>
        </row>
        <row r="33">
          <cell r="C33"/>
        </row>
        <row r="34">
          <cell r="C34"/>
        </row>
        <row r="35">
          <cell r="C35"/>
        </row>
        <row r="36">
          <cell r="C36"/>
        </row>
        <row r="37">
          <cell r="C37"/>
        </row>
      </sheetData>
      <sheetData sheetId="22"/>
      <sheetData sheetId="23"/>
      <sheetData sheetId="2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Cover"/>
      <sheetName val="Cover "/>
      <sheetName val="Coverfly"/>
      <sheetName val="Contents"/>
      <sheetName val="Executive summary "/>
      <sheetName val="Notes&amp;Excl"/>
      <sheetName val="Basis of Estimate"/>
      <sheetName val="Main Schedule"/>
      <sheetName val="menu"/>
      <sheetName val="Collection"/>
      <sheetName val="1"/>
      <sheetName val="2 "/>
      <sheetName val="3"/>
      <sheetName val="4"/>
      <sheetName val="5"/>
      <sheetName val="6"/>
      <sheetName val="7"/>
      <sheetName val="8"/>
      <sheetName val="9"/>
      <sheetName val="10"/>
      <sheetName val="11"/>
      <sheetName val="12"/>
      <sheetName val="13"/>
      <sheetName val="14"/>
      <sheetName val="15"/>
      <sheetName val="16"/>
      <sheetName val="17"/>
      <sheetName val="18"/>
      <sheetName val="19"/>
    </sheetNames>
    <sheetDataSet>
      <sheetData sheetId="0"/>
      <sheetData sheetId="1"/>
      <sheetData sheetId="2"/>
      <sheetData sheetId="3"/>
      <sheetData sheetId="4"/>
      <sheetData sheetId="5"/>
      <sheetData sheetId="6"/>
      <sheetData sheetId="7"/>
      <sheetData sheetId="8"/>
      <sheetData sheetId="9" refreshError="1">
        <row r="9">
          <cell r="O9">
            <v>23850</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Notes"/>
      <sheetName val="Cover"/>
      <sheetName val="Document Issue Sheet"/>
      <sheetName val="Contents"/>
      <sheetName val="1.0 Executive Summary"/>
      <sheetName val="2.0 Cost Plan (Model) Summary"/>
      <sheetName val="2.0 Cost Plan"/>
      <sheetName val="3.0 Basis and Assumptions"/>
      <sheetName val="4.0 Exclusions"/>
      <sheetName val="5.0 Benchmarking Analysis 1"/>
      <sheetName val="5.0 Benchmarking Analysis 2"/>
      <sheetName val="5.0 Benchmarking Analysis 3"/>
      <sheetName val="6.0 Key Parameters"/>
      <sheetName val="7.0 Risks and Opportunities"/>
      <sheetName val="8.0 Outline Specification"/>
      <sheetName val="9.0 Schedule of Floor Areas"/>
      <sheetName val="Cash Flow"/>
      <sheetName val="5.0 Area Summary"/>
      <sheetName val="Appendix A"/>
      <sheetName val="Back cover"/>
      <sheetName val="Subs"/>
      <sheetName val="Steel Measure"/>
      <sheetName val="Gen Measure"/>
      <sheetName val="Floor &amp; Ceiling Finishes"/>
      <sheetName val="Manholes &amp; IC"/>
      <sheetName val="Drain Runs"/>
    </sheetNames>
    <sheetDataSet>
      <sheetData sheetId="0" refreshError="1"/>
      <sheetData sheetId="1">
        <row r="30">
          <cell r="E30" t="str">
            <v xml:space="preserve">Barnet and Southgate College </v>
          </cell>
        </row>
        <row r="33">
          <cell r="E33">
            <v>41401</v>
          </cell>
        </row>
      </sheetData>
      <sheetData sheetId="2" refreshError="1"/>
      <sheetData sheetId="3" refreshError="1"/>
      <sheetData sheetId="4" refreshError="1"/>
      <sheetData sheetId="5">
        <row r="16">
          <cell r="E16">
            <v>348500</v>
          </cell>
        </row>
      </sheetData>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4">
          <cell r="J4">
            <v>39722</v>
          </cell>
        </row>
      </sheetData>
      <sheetData sheetId="18">
        <row r="12">
          <cell r="D12">
            <v>1094</v>
          </cell>
        </row>
      </sheetData>
      <sheetData sheetId="19" refreshError="1"/>
      <sheetData sheetId="20" refreshError="1"/>
      <sheetData sheetId="21">
        <row r="7">
          <cell r="C7">
            <v>15.85</v>
          </cell>
        </row>
      </sheetData>
      <sheetData sheetId="22">
        <row r="66">
          <cell r="G66">
            <v>90.01</v>
          </cell>
        </row>
      </sheetData>
      <sheetData sheetId="23">
        <row r="102">
          <cell r="E102">
            <v>1134.95</v>
          </cell>
        </row>
      </sheetData>
      <sheetData sheetId="24">
        <row r="15">
          <cell r="J15">
            <v>3</v>
          </cell>
        </row>
      </sheetData>
      <sheetData sheetId="25">
        <row r="8">
          <cell r="L8">
            <v>86</v>
          </cell>
        </row>
      </sheetData>
      <sheetData sheetId="26">
        <row r="8">
          <cell r="L8">
            <v>86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Front Cover"/>
      <sheetName val="QA"/>
      <sheetName val="Contents"/>
      <sheetName val="1.0 Executive Summary"/>
      <sheetName val="2.0 Variations Instructed PMI"/>
      <sheetName val="3.0 CVI (Anticipated)"/>
      <sheetName val="3.2 Others (Anticipated)"/>
      <sheetName val="4.0 Provisional sums"/>
      <sheetName val="5.0 Prog &amp; Payments"/>
      <sheetName val="6.0 Cash Flow"/>
    </sheetNames>
    <sheetDataSet>
      <sheetData sheetId="0">
        <row r="53">
          <cell r="E53" t="str">
            <v>University of Southampton</v>
          </cell>
        </row>
      </sheetData>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row r="2">
          <cell r="B2" t="str">
            <v>Cash Flow</v>
          </cell>
        </row>
        <row r="6">
          <cell r="C6" t="str">
            <v>Forecast Final Account</v>
          </cell>
          <cell r="D6">
            <v>1119563</v>
          </cell>
        </row>
        <row r="8">
          <cell r="C8" t="str">
            <v>Month</v>
          </cell>
          <cell r="D8" t="str">
            <v>Gross</v>
          </cell>
        </row>
        <row r="9">
          <cell r="C9">
            <v>40057</v>
          </cell>
          <cell r="D9">
            <v>80000</v>
          </cell>
        </row>
        <row r="10">
          <cell r="C10">
            <v>40087</v>
          </cell>
          <cell r="D10">
            <v>255000</v>
          </cell>
        </row>
        <row r="11">
          <cell r="C11">
            <v>40118</v>
          </cell>
          <cell r="D11">
            <v>575000</v>
          </cell>
        </row>
        <row r="12">
          <cell r="C12">
            <v>40148</v>
          </cell>
          <cell r="D12">
            <v>875000</v>
          </cell>
        </row>
        <row r="13">
          <cell r="C13">
            <v>40179</v>
          </cell>
          <cell r="D13">
            <v>1075000</v>
          </cell>
        </row>
        <row r="14">
          <cell r="C14">
            <v>40210</v>
          </cell>
          <cell r="D14">
            <v>1119563</v>
          </cell>
        </row>
        <row r="15">
          <cell r="C15">
            <v>40238</v>
          </cell>
        </row>
        <row r="28">
          <cell r="B28" t="str">
            <v>Indicative purposes only, not for valuation of work</v>
          </cell>
        </row>
        <row r="29">
          <cell r="B29" t="str">
            <v>Figures may vary if sequence of work changes</v>
          </cell>
        </row>
        <row r="30">
          <cell r="B30" t="str">
            <v>Figures may vary depending on the timing of material deliveries</v>
          </cell>
        </row>
        <row r="31">
          <cell r="B31" t="str">
            <v>VAT and retention excluded</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utetarget"/>
      <sheetName val="2002ph1"/>
      <sheetName val="2005ph2"/>
      <sheetName val="TOTALS"/>
      <sheetName val="material rates"/>
    </sheetNames>
    <sheetDataSet>
      <sheetData sheetId="0" refreshError="1"/>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eas"/>
      <sheetName val="Summary Breakdown"/>
      <sheetName val="SCCA - 5A San'ware"/>
      <sheetName val="SCCA - 5B Equip"/>
      <sheetName val="SCCA - 5C Disposal"/>
      <sheetName val="SCCA - 5D Water"/>
      <sheetName val="SCCA Load Bay - 5D Water"/>
      <sheetName val="SCCA - 5E Heat Source"/>
      <sheetName val="SCCA - 5F Space Heat"/>
      <sheetName val="SCCA - 5G Vent"/>
      <sheetName val="SCCA Load Bay - 5G Vent"/>
      <sheetName val="SCCA - 5H Electrical"/>
      <sheetName val="SCCA Load Bay - 5H Electrical"/>
      <sheetName val="SCCA - 5I Gas"/>
      <sheetName val="SCCA - 5K Protective"/>
      <sheetName val="SCCA - 5L Comms"/>
      <sheetName val="SCCA - 5M Special"/>
      <sheetName val="SCCA - 6 External"/>
      <sheetName val="SCCA - 7 Utilities"/>
      <sheetName val="CB - 5A San'ware"/>
      <sheetName val="CB - 5B Equipment"/>
      <sheetName val="CB - 5C Disposal"/>
      <sheetName val="CB - 5D Water "/>
      <sheetName val="CB - 5F Space Htg"/>
      <sheetName val="CB - 5G Vent"/>
      <sheetName val="CB - 5H Electrical"/>
      <sheetName val="CB - 5I Gas"/>
      <sheetName val="CB - 5K Protection"/>
      <sheetName val="CB - 5L Comms"/>
      <sheetName val="CB - 6 External"/>
      <sheetName val="Sustainability Options"/>
    </sheetNames>
    <sheetDataSet>
      <sheetData sheetId="0">
        <row r="2">
          <cell r="I2">
            <v>9663</v>
          </cell>
        </row>
        <row r="227">
          <cell r="H227">
            <v>3625.848</v>
          </cell>
        </row>
      </sheetData>
      <sheetData sheetId="1"/>
      <sheetData sheetId="2"/>
      <sheetData sheetId="3">
        <row r="35">
          <cell r="J35">
            <v>0</v>
          </cell>
        </row>
      </sheetData>
      <sheetData sheetId="4">
        <row r="68">
          <cell r="J68">
            <v>124550</v>
          </cell>
        </row>
      </sheetData>
      <sheetData sheetId="5">
        <row r="93">
          <cell r="J93">
            <v>195650</v>
          </cell>
        </row>
      </sheetData>
      <sheetData sheetId="6">
        <row r="38">
          <cell r="J38">
            <v>1100</v>
          </cell>
        </row>
      </sheetData>
      <sheetData sheetId="7">
        <row r="35">
          <cell r="J35">
            <v>285000</v>
          </cell>
        </row>
      </sheetData>
      <sheetData sheetId="8">
        <row r="65">
          <cell r="J65">
            <v>1333900</v>
          </cell>
        </row>
      </sheetData>
      <sheetData sheetId="9">
        <row r="35">
          <cell r="J35">
            <v>106600</v>
          </cell>
        </row>
      </sheetData>
      <sheetData sheetId="10">
        <row r="32">
          <cell r="J32">
            <v>60600</v>
          </cell>
        </row>
      </sheetData>
      <sheetData sheetId="11">
        <row r="61">
          <cell r="J61">
            <v>1557370</v>
          </cell>
        </row>
      </sheetData>
      <sheetData sheetId="12">
        <row r="34">
          <cell r="J34">
            <v>11200</v>
          </cell>
        </row>
      </sheetData>
      <sheetData sheetId="13">
        <row r="35">
          <cell r="J35">
            <v>35900</v>
          </cell>
        </row>
      </sheetData>
      <sheetData sheetId="14">
        <row r="35">
          <cell r="J35">
            <v>101200</v>
          </cell>
        </row>
      </sheetData>
      <sheetData sheetId="15">
        <row r="35">
          <cell r="J35">
            <v>244800</v>
          </cell>
        </row>
      </sheetData>
      <sheetData sheetId="16">
        <row r="35">
          <cell r="J35">
            <v>596300</v>
          </cell>
        </row>
      </sheetData>
      <sheetData sheetId="17">
        <row r="35">
          <cell r="J35">
            <v>0</v>
          </cell>
        </row>
      </sheetData>
      <sheetData sheetId="18">
        <row r="35">
          <cell r="J35">
            <v>67300</v>
          </cell>
        </row>
      </sheetData>
      <sheetData sheetId="19">
        <row r="35">
          <cell r="J35">
            <v>8000</v>
          </cell>
        </row>
      </sheetData>
      <sheetData sheetId="20">
        <row r="35">
          <cell r="J35">
            <v>0</v>
          </cell>
        </row>
      </sheetData>
      <sheetData sheetId="21">
        <row r="67">
          <cell r="J67">
            <v>68900</v>
          </cell>
        </row>
      </sheetData>
      <sheetData sheetId="22">
        <row r="65">
          <cell r="J65">
            <v>29600</v>
          </cell>
        </row>
      </sheetData>
      <sheetData sheetId="23">
        <row r="62">
          <cell r="J62">
            <v>503027.57499999995</v>
          </cell>
        </row>
      </sheetData>
      <sheetData sheetId="24">
        <row r="32">
          <cell r="J32">
            <v>121200</v>
          </cell>
        </row>
      </sheetData>
      <sheetData sheetId="25">
        <row r="33">
          <cell r="J33">
            <v>390776.95999999996</v>
          </cell>
        </row>
      </sheetData>
      <sheetData sheetId="26">
        <row r="35">
          <cell r="J35">
            <v>25900</v>
          </cell>
        </row>
      </sheetData>
      <sheetData sheetId="27">
        <row r="34">
          <cell r="J34">
            <v>25900</v>
          </cell>
        </row>
      </sheetData>
      <sheetData sheetId="28">
        <row r="33">
          <cell r="J33">
            <v>412675</v>
          </cell>
        </row>
      </sheetData>
      <sheetData sheetId="29">
        <row r="35">
          <cell r="J35">
            <v>0</v>
          </cell>
        </row>
      </sheetData>
      <sheetData sheetId="30">
        <row r="34">
          <cell r="J34">
            <v>129000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Notes"/>
      <sheetName val="Cover"/>
      <sheetName val="Document Issue Sheet"/>
      <sheetName val="Contents"/>
      <sheetName val="1.0 Executive Summary"/>
      <sheetName val="2.0 Cost Plan (Model) Summary"/>
      <sheetName val="2.0 Cost Plan"/>
      <sheetName val="3.0 Basis and Assumptions"/>
      <sheetName val="4.0 Exclusions"/>
      <sheetName val="5.0 Benchmarking Analysis 1"/>
      <sheetName val="5.0 Benchmarking Analysis 2"/>
      <sheetName val="5.0 Benchmarking Analysis 3"/>
      <sheetName val="6.0 Key Parameters"/>
      <sheetName val="7.0 Risks and Opportunities"/>
      <sheetName val="8.0 Outline Specification"/>
      <sheetName val="9.0 Schedule of Floor Areas"/>
      <sheetName val="Cash Flow"/>
      <sheetName val="5.0 Area Summary"/>
      <sheetName val="Appendix A"/>
      <sheetName val="Back cover"/>
      <sheetName val="Subs"/>
      <sheetName val="Steel Measure"/>
      <sheetName val="Floor &amp; Ceiling Finishes"/>
      <sheetName val="Manholes &amp; IC"/>
      <sheetName val="Drain Runs"/>
    </sheetNames>
    <sheetDataSet>
      <sheetData sheetId="0" refreshError="1"/>
      <sheetData sheetId="1">
        <row r="30">
          <cell r="E30" t="str">
            <v xml:space="preserve">Barnet and Southgate College </v>
          </cell>
        </row>
        <row r="31">
          <cell r="E31" t="str">
            <v xml:space="preserve">LLDD Facility </v>
          </cell>
        </row>
        <row r="32">
          <cell r="E32" t="str">
            <v xml:space="preserve"> 3 - Stage E</v>
          </cell>
        </row>
        <row r="33">
          <cell r="E33">
            <v>41401</v>
          </cell>
        </row>
        <row r="34">
          <cell r="E34" t="str">
            <v>Cost Plan</v>
          </cell>
        </row>
      </sheetData>
      <sheetData sheetId="2" refreshError="1"/>
      <sheetData sheetId="3" refreshError="1"/>
      <sheetData sheetId="4" refreshError="1"/>
      <sheetData sheetId="5">
        <row r="16">
          <cell r="E16">
            <v>348500</v>
          </cell>
        </row>
      </sheetData>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4">
          <cell r="J4">
            <v>39722</v>
          </cell>
        </row>
        <row r="7">
          <cell r="C7">
            <v>39479</v>
          </cell>
          <cell r="D7">
            <v>15000</v>
          </cell>
          <cell r="E7">
            <v>15000</v>
          </cell>
        </row>
        <row r="8">
          <cell r="C8">
            <v>39508</v>
          </cell>
          <cell r="D8">
            <v>15000</v>
          </cell>
          <cell r="E8">
            <v>30000</v>
          </cell>
        </row>
        <row r="9">
          <cell r="C9">
            <v>39539</v>
          </cell>
          <cell r="D9">
            <v>14000</v>
          </cell>
          <cell r="E9">
            <v>44000</v>
          </cell>
        </row>
        <row r="10">
          <cell r="C10">
            <v>39569</v>
          </cell>
          <cell r="D10">
            <v>18000</v>
          </cell>
          <cell r="E10">
            <v>62000</v>
          </cell>
        </row>
        <row r="11">
          <cell r="C11">
            <v>39600</v>
          </cell>
          <cell r="D11">
            <v>18000</v>
          </cell>
          <cell r="E11">
            <v>80000</v>
          </cell>
        </row>
        <row r="12">
          <cell r="C12">
            <v>39630</v>
          </cell>
          <cell r="D12">
            <v>17000</v>
          </cell>
          <cell r="E12">
            <v>97000</v>
          </cell>
        </row>
        <row r="13">
          <cell r="C13">
            <v>39661</v>
          </cell>
          <cell r="D13">
            <v>12500</v>
          </cell>
          <cell r="E13">
            <v>109500</v>
          </cell>
        </row>
        <row r="14">
          <cell r="C14">
            <v>39692</v>
          </cell>
          <cell r="D14">
            <v>10000</v>
          </cell>
          <cell r="E14">
            <v>119500</v>
          </cell>
        </row>
        <row r="15">
          <cell r="C15">
            <v>39722</v>
          </cell>
          <cell r="D15">
            <v>4500</v>
          </cell>
          <cell r="E15">
            <v>124000</v>
          </cell>
        </row>
        <row r="16">
          <cell r="C16"/>
          <cell r="E16" t="e">
            <v>#N/A</v>
          </cell>
        </row>
        <row r="17">
          <cell r="C17"/>
          <cell r="E17" t="e">
            <v>#N/A</v>
          </cell>
        </row>
        <row r="18">
          <cell r="C18"/>
          <cell r="E18" t="e">
            <v>#N/A</v>
          </cell>
        </row>
        <row r="19">
          <cell r="C19"/>
          <cell r="E19" t="e">
            <v>#N/A</v>
          </cell>
        </row>
        <row r="20">
          <cell r="C20"/>
          <cell r="E20" t="e">
            <v>#N/A</v>
          </cell>
        </row>
        <row r="21">
          <cell r="C21"/>
          <cell r="E21" t="e">
            <v>#N/A</v>
          </cell>
        </row>
        <row r="22">
          <cell r="C22"/>
          <cell r="E22" t="e">
            <v>#N/A</v>
          </cell>
        </row>
        <row r="23">
          <cell r="C23"/>
          <cell r="E23" t="e">
            <v>#N/A</v>
          </cell>
        </row>
        <row r="24">
          <cell r="C24"/>
          <cell r="E24" t="e">
            <v>#N/A</v>
          </cell>
        </row>
        <row r="25">
          <cell r="C25"/>
          <cell r="E25" t="e">
            <v>#N/A</v>
          </cell>
        </row>
        <row r="26">
          <cell r="C26"/>
          <cell r="E26" t="e">
            <v>#N/A</v>
          </cell>
        </row>
        <row r="27">
          <cell r="C27"/>
          <cell r="E27" t="e">
            <v>#N/A</v>
          </cell>
        </row>
        <row r="28">
          <cell r="C28"/>
          <cell r="E28" t="e">
            <v>#N/A</v>
          </cell>
        </row>
        <row r="29">
          <cell r="C29"/>
          <cell r="E29" t="e">
            <v>#N/A</v>
          </cell>
        </row>
        <row r="30">
          <cell r="C30"/>
          <cell r="E30" t="e">
            <v>#N/A</v>
          </cell>
        </row>
        <row r="31">
          <cell r="C31"/>
          <cell r="E31" t="e">
            <v>#N/A</v>
          </cell>
        </row>
        <row r="32">
          <cell r="C32"/>
          <cell r="E32" t="e">
            <v>#N/A</v>
          </cell>
        </row>
        <row r="33">
          <cell r="C33"/>
          <cell r="E33" t="e">
            <v>#N/A</v>
          </cell>
        </row>
        <row r="34">
          <cell r="C34"/>
          <cell r="E34" t="e">
            <v>#N/A</v>
          </cell>
        </row>
        <row r="35">
          <cell r="C35"/>
          <cell r="E35" t="e">
            <v>#N/A</v>
          </cell>
        </row>
        <row r="36">
          <cell r="C36"/>
          <cell r="E36" t="e">
            <v>#N/A</v>
          </cell>
        </row>
        <row r="37">
          <cell r="C37"/>
        </row>
      </sheetData>
      <sheetData sheetId="18">
        <row r="12">
          <cell r="D12">
            <v>1094</v>
          </cell>
        </row>
      </sheetData>
      <sheetData sheetId="19" refreshError="1"/>
      <sheetData sheetId="20" refreshError="1"/>
      <sheetData sheetId="21">
        <row r="7">
          <cell r="C7">
            <v>15.85</v>
          </cell>
        </row>
      </sheetData>
      <sheetData sheetId="22">
        <row r="66">
          <cell r="G66">
            <v>90.01</v>
          </cell>
        </row>
      </sheetData>
      <sheetData sheetId="23">
        <row r="102">
          <cell r="E102">
            <v>1134.95</v>
          </cell>
        </row>
      </sheetData>
      <sheetData sheetId="24">
        <row r="15">
          <cell r="J15">
            <v>3</v>
          </cell>
        </row>
      </sheetData>
      <sheetData sheetId="25">
        <row r="8">
          <cell r="L8">
            <v>86</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Notes"/>
      <sheetName val="Cover"/>
      <sheetName val="Document Issue Sheet"/>
      <sheetName val="Contents"/>
      <sheetName val="1.0 Executive Summary"/>
      <sheetName val="2.0 Cost Plan (Model) Summary"/>
      <sheetName val="2.0 Cost Plan Breakdown"/>
      <sheetName val="3.0 Basis and Assumptions"/>
      <sheetName val="4.0 Exclusions"/>
      <sheetName val="5.0 Benchmarking Analysis 1"/>
      <sheetName val="5.0 Benchmarking Analysis 2"/>
      <sheetName val="5.0 Benchmarking Analysis 3"/>
      <sheetName val="6.0 Key Parameters"/>
      <sheetName val="7.0 Risks and Opportunities"/>
      <sheetName val="8.0 Outline Specification"/>
      <sheetName val="9.0 Schedule of Floor Areas"/>
      <sheetName val="Cash Flow"/>
      <sheetName val="5.0 Area Summary"/>
      <sheetName val="Back cover"/>
      <sheetName val="Flysheets"/>
    </sheetNames>
    <sheetDataSet>
      <sheetData sheetId="0"/>
      <sheetData sheetId="1">
        <row r="30">
          <cell r="E30" t="str">
            <v>Berkshire College of Agriculture</v>
          </cell>
        </row>
        <row r="31">
          <cell r="E31" t="str">
            <v xml:space="preserve">Vocational Resource Centre </v>
          </cell>
        </row>
        <row r="32">
          <cell r="E32">
            <v>1</v>
          </cell>
        </row>
        <row r="33">
          <cell r="E33">
            <v>41151</v>
          </cell>
        </row>
        <row r="34">
          <cell r="E34" t="str">
            <v xml:space="preserve">Indicative Cost Plan </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4">
          <cell r="J4">
            <v>39722</v>
          </cell>
        </row>
        <row r="7">
          <cell r="C7">
            <v>39479</v>
          </cell>
        </row>
        <row r="8">
          <cell r="C8">
            <v>39508</v>
          </cell>
        </row>
        <row r="9">
          <cell r="C9">
            <v>39539</v>
          </cell>
        </row>
        <row r="10">
          <cell r="C10">
            <v>39569</v>
          </cell>
        </row>
        <row r="11">
          <cell r="C11">
            <v>39600</v>
          </cell>
        </row>
        <row r="12">
          <cell r="C12">
            <v>39630</v>
          </cell>
        </row>
        <row r="13">
          <cell r="C13">
            <v>39661</v>
          </cell>
        </row>
        <row r="14">
          <cell r="C14">
            <v>39692</v>
          </cell>
        </row>
        <row r="15">
          <cell r="C15">
            <v>39722</v>
          </cell>
        </row>
        <row r="16">
          <cell r="C16"/>
        </row>
        <row r="17">
          <cell r="C17"/>
        </row>
        <row r="18">
          <cell r="C18"/>
        </row>
        <row r="19">
          <cell r="C19"/>
        </row>
        <row r="20">
          <cell r="C20"/>
        </row>
        <row r="21">
          <cell r="C21"/>
        </row>
        <row r="22">
          <cell r="C22"/>
        </row>
        <row r="23">
          <cell r="C23"/>
        </row>
        <row r="24">
          <cell r="C24"/>
        </row>
        <row r="25">
          <cell r="C25"/>
        </row>
        <row r="26">
          <cell r="C26"/>
        </row>
        <row r="27">
          <cell r="C27"/>
        </row>
        <row r="28">
          <cell r="C28"/>
        </row>
        <row r="29">
          <cell r="C29"/>
        </row>
        <row r="30">
          <cell r="C30"/>
        </row>
        <row r="31">
          <cell r="C31"/>
        </row>
        <row r="32">
          <cell r="C32"/>
        </row>
        <row r="33">
          <cell r="C33"/>
        </row>
        <row r="34">
          <cell r="C34"/>
        </row>
        <row r="35">
          <cell r="C35"/>
        </row>
        <row r="36">
          <cell r="C36"/>
        </row>
        <row r="37">
          <cell r="C37"/>
        </row>
      </sheetData>
      <sheetData sheetId="18"/>
      <sheetData sheetId="19"/>
      <sheetData sheetId="2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Cover"/>
      <sheetName val="QA"/>
      <sheetName val="Contents"/>
      <sheetName val="1.0 Executive Summary"/>
      <sheetName val="3.0 Basis "/>
      <sheetName val="4.0 Area Schedule"/>
      <sheetName val="Fly"/>
      <sheetName val="B45 Minor Refurb"/>
      <sheetName val="B45 Medium Refurb "/>
      <sheetName val="B45 Major Refurb "/>
    </sheetNames>
    <sheetDataSet>
      <sheetData sheetId="0" refreshError="1"/>
      <sheetData sheetId="1" refreshError="1"/>
      <sheetData sheetId="2" refreshError="1"/>
      <sheetData sheetId="3"/>
      <sheetData sheetId="4" refreshError="1"/>
      <sheetData sheetId="5"/>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1phb"/>
      <sheetName val="Route 1 - Quants"/>
      <sheetName val="Route 1 - Durations"/>
      <sheetName val="Sheet2"/>
      <sheetName val="Sheet3"/>
      <sheetName val="allocation"/>
    </sheetNames>
    <sheetDataSet>
      <sheetData sheetId="0"/>
      <sheetData sheetId="1"/>
      <sheetData sheetId="2"/>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rrative"/>
      <sheetName val="material rates"/>
      <sheetName val="Ctarget"/>
      <sheetName val="Summary"/>
      <sheetName val="r1phb"/>
      <sheetName val="Route 1 - Quants"/>
      <sheetName val="r2phb"/>
      <sheetName val="r6phb  "/>
      <sheetName val="r7phb "/>
      <sheetName val="r9phb   "/>
      <sheetName val="r12phb  "/>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4"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comments" Target="../comments3.xml"/><Relationship Id="rId5" Type="http://schemas.openxmlformats.org/officeDocument/2006/relationships/vmlDrawing" Target="../drawings/vmlDrawing4.vml"/><Relationship Id="rId4"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 Id="rId4" Type="http://schemas.openxmlformats.org/officeDocument/2006/relationships/drawing" Target="../drawings/drawing9.x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4.bin"/><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drawing" Target="../drawings/drawing10.xm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0.bin"/><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1.xml"/><Relationship Id="rId1" Type="http://schemas.openxmlformats.org/officeDocument/2006/relationships/printerSettings" Target="../printerSettings/printerSettings52.bin"/><Relationship Id="rId5" Type="http://schemas.openxmlformats.org/officeDocument/2006/relationships/image" Target="../media/image9.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2.xml"/><Relationship Id="rId5" Type="http://schemas.openxmlformats.org/officeDocument/2006/relationships/vmlDrawing" Target="../drawings/vmlDrawing3.vm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sheetPr>
  <dimension ref="A1:T65"/>
  <sheetViews>
    <sheetView zoomScaleNormal="100" zoomScaleSheetLayoutView="100" workbookViewId="0">
      <selection activeCell="B20" sqref="B20:M20"/>
    </sheetView>
  </sheetViews>
  <sheetFormatPr defaultColWidth="9" defaultRowHeight="12.75" customHeight="1" x14ac:dyDescent="0.3"/>
  <cols>
    <col min="1" max="1" width="5.58203125" style="925" customWidth="1"/>
    <col min="2" max="2" width="5.58203125" style="908" customWidth="1"/>
    <col min="3" max="3" width="8.6640625" style="908" customWidth="1"/>
    <col min="4" max="4" width="9" style="908"/>
    <col min="5" max="5" width="17.5" style="908" bestFit="1" customWidth="1"/>
    <col min="6" max="11" width="9" style="908"/>
    <col min="12" max="12" width="8.83203125" style="908" customWidth="1"/>
    <col min="13" max="13" width="6.33203125" style="908" customWidth="1"/>
    <col min="14" max="16384" width="9" style="908"/>
  </cols>
  <sheetData>
    <row r="1" spans="1:20" ht="12.75" customHeight="1" x14ac:dyDescent="0.25">
      <c r="A1" s="911" t="s">
        <v>492</v>
      </c>
      <c r="B1" s="912"/>
      <c r="C1" s="912"/>
      <c r="D1" s="912"/>
      <c r="E1" s="912"/>
      <c r="F1" s="912"/>
      <c r="G1" s="913">
        <v>40681</v>
      </c>
      <c r="H1" s="914" t="s">
        <v>493</v>
      </c>
      <c r="J1" s="915"/>
      <c r="K1" s="915"/>
      <c r="S1" s="916"/>
      <c r="T1" s="916"/>
    </row>
    <row r="2" spans="1:20" ht="12.75" customHeight="1" x14ac:dyDescent="0.25">
      <c r="A2" s="911"/>
      <c r="B2" s="912"/>
      <c r="C2" s="912"/>
      <c r="D2" s="912"/>
      <c r="E2" s="912"/>
      <c r="F2" s="912"/>
      <c r="G2" s="912"/>
      <c r="H2" s="912"/>
      <c r="I2" s="912"/>
      <c r="J2" s="912"/>
      <c r="K2" s="912"/>
      <c r="L2" s="912"/>
      <c r="M2" s="912"/>
      <c r="S2" s="916"/>
      <c r="T2" s="916"/>
    </row>
    <row r="3" spans="1:20" ht="12.75" customHeight="1" x14ac:dyDescent="0.25">
      <c r="A3" s="917"/>
      <c r="B3" s="918"/>
      <c r="C3" s="912"/>
      <c r="D3" s="912"/>
      <c r="E3" s="912"/>
      <c r="F3" s="912"/>
      <c r="G3" s="912"/>
      <c r="H3" s="912"/>
      <c r="I3" s="919"/>
      <c r="J3" s="912"/>
      <c r="K3" s="912"/>
      <c r="L3" s="912"/>
      <c r="M3" s="912"/>
      <c r="S3" s="916"/>
      <c r="T3" s="916"/>
    </row>
    <row r="4" spans="1:20" ht="12.75" customHeight="1" x14ac:dyDescent="0.25">
      <c r="A4" s="920">
        <v>1</v>
      </c>
      <c r="B4" s="1280" t="s">
        <v>494</v>
      </c>
      <c r="C4" s="1280"/>
      <c r="D4" s="1280"/>
      <c r="E4" s="1280"/>
      <c r="F4" s="1280"/>
      <c r="G4" s="1280"/>
      <c r="H4" s="1280"/>
      <c r="I4" s="1280"/>
      <c r="J4" s="1280"/>
      <c r="K4" s="1280"/>
      <c r="L4" s="1280"/>
      <c r="M4" s="1280"/>
      <c r="S4" s="916"/>
      <c r="T4" s="916"/>
    </row>
    <row r="5" spans="1:20" ht="12.75" customHeight="1" x14ac:dyDescent="0.25">
      <c r="A5" s="917"/>
      <c r="B5" s="921"/>
      <c r="C5" s="912"/>
      <c r="D5" s="912"/>
      <c r="E5" s="912"/>
      <c r="F5" s="912"/>
      <c r="G5" s="912"/>
      <c r="H5" s="912"/>
      <c r="I5" s="919"/>
      <c r="J5" s="912"/>
      <c r="K5" s="912"/>
      <c r="L5" s="912"/>
      <c r="M5" s="912"/>
      <c r="S5" s="916"/>
      <c r="T5" s="916"/>
    </row>
    <row r="6" spans="1:20" ht="13" x14ac:dyDescent="0.25">
      <c r="A6" s="920">
        <v>2</v>
      </c>
      <c r="B6" s="1278" t="s">
        <v>495</v>
      </c>
      <c r="C6" s="1278"/>
      <c r="D6" s="1278"/>
      <c r="E6" s="1278"/>
      <c r="F6" s="1278"/>
      <c r="G6" s="1278"/>
      <c r="H6" s="1278"/>
      <c r="I6" s="1278"/>
      <c r="J6" s="1278"/>
      <c r="K6" s="1278"/>
      <c r="L6" s="1278"/>
      <c r="M6" s="1278"/>
      <c r="S6" s="916"/>
      <c r="T6" s="916"/>
    </row>
    <row r="7" spans="1:20" ht="12.75" customHeight="1" x14ac:dyDescent="0.25">
      <c r="A7" s="917"/>
      <c r="B7" s="912"/>
      <c r="C7" s="912"/>
      <c r="D7" s="912"/>
      <c r="E7" s="912"/>
      <c r="F7" s="912"/>
      <c r="G7" s="912"/>
      <c r="H7" s="912"/>
      <c r="I7" s="919"/>
      <c r="J7" s="912"/>
      <c r="K7" s="912"/>
      <c r="L7" s="912"/>
      <c r="M7" s="912"/>
      <c r="S7" s="916"/>
      <c r="T7" s="916"/>
    </row>
    <row r="8" spans="1:20" ht="25.5" customHeight="1" x14ac:dyDescent="0.25">
      <c r="A8" s="920">
        <v>3</v>
      </c>
      <c r="B8" s="1278" t="s">
        <v>496</v>
      </c>
      <c r="C8" s="1278"/>
      <c r="D8" s="1278"/>
      <c r="E8" s="1278"/>
      <c r="F8" s="1278"/>
      <c r="G8" s="1278"/>
      <c r="H8" s="1278"/>
      <c r="I8" s="1278"/>
      <c r="J8" s="1278"/>
      <c r="K8" s="1278"/>
      <c r="L8" s="1278"/>
      <c r="M8" s="1278"/>
      <c r="S8" s="916"/>
      <c r="T8" s="916"/>
    </row>
    <row r="9" spans="1:20" ht="12.75" customHeight="1" x14ac:dyDescent="0.25">
      <c r="A9" s="911"/>
      <c r="B9" s="912"/>
      <c r="C9" s="912"/>
      <c r="D9" s="912"/>
      <c r="E9" s="912"/>
      <c r="F9" s="912"/>
      <c r="G9" s="912"/>
      <c r="H9" s="912"/>
      <c r="I9" s="919"/>
      <c r="J9" s="912"/>
      <c r="K9" s="912"/>
      <c r="L9" s="912"/>
      <c r="M9" s="912"/>
      <c r="S9" s="916"/>
      <c r="T9" s="916"/>
    </row>
    <row r="10" spans="1:20" ht="12.75" customHeight="1" x14ac:dyDescent="0.25">
      <c r="A10" s="920">
        <v>4</v>
      </c>
      <c r="B10" s="1280" t="s">
        <v>497</v>
      </c>
      <c r="C10" s="1280"/>
      <c r="D10" s="1280"/>
      <c r="E10" s="1280"/>
      <c r="F10" s="1280"/>
      <c r="G10" s="1280"/>
      <c r="H10" s="1280"/>
      <c r="I10" s="1280"/>
      <c r="J10" s="1280"/>
      <c r="K10" s="1280"/>
      <c r="L10" s="1280"/>
      <c r="M10" s="1280"/>
      <c r="S10" s="916"/>
      <c r="T10" s="916"/>
    </row>
    <row r="11" spans="1:20" ht="12.75" customHeight="1" x14ac:dyDescent="0.25">
      <c r="A11" s="917"/>
      <c r="B11" s="921"/>
      <c r="C11" s="912"/>
      <c r="D11" s="912"/>
      <c r="E11" s="912"/>
      <c r="F11" s="912"/>
      <c r="G11" s="912"/>
      <c r="H11" s="912"/>
      <c r="I11" s="919"/>
      <c r="J11" s="912"/>
      <c r="K11" s="912"/>
      <c r="L11" s="912"/>
      <c r="M11" s="912"/>
      <c r="S11" s="916"/>
      <c r="T11" s="916"/>
    </row>
    <row r="12" spans="1:20" ht="52.5" customHeight="1" x14ac:dyDescent="0.25">
      <c r="A12" s="920">
        <v>5</v>
      </c>
      <c r="B12" s="1278" t="s">
        <v>498</v>
      </c>
      <c r="C12" s="1278"/>
      <c r="D12" s="1278"/>
      <c r="E12" s="1278"/>
      <c r="F12" s="1278"/>
      <c r="G12" s="1278"/>
      <c r="H12" s="1278"/>
      <c r="I12" s="1278"/>
      <c r="J12" s="1278"/>
      <c r="K12" s="1278"/>
      <c r="L12" s="1278"/>
      <c r="M12" s="1278"/>
      <c r="S12" s="916"/>
      <c r="T12" s="916"/>
    </row>
    <row r="13" spans="1:20" ht="13" x14ac:dyDescent="0.25">
      <c r="A13" s="920"/>
      <c r="B13" s="922"/>
      <c r="C13" s="922"/>
      <c r="D13" s="922"/>
      <c r="E13" s="922"/>
      <c r="F13" s="922"/>
      <c r="G13" s="922"/>
      <c r="H13" s="922"/>
      <c r="I13" s="922"/>
      <c r="J13" s="922"/>
      <c r="K13" s="922"/>
      <c r="L13" s="922"/>
      <c r="M13" s="922"/>
      <c r="S13" s="916"/>
      <c r="T13" s="916"/>
    </row>
    <row r="14" spans="1:20" ht="39" customHeight="1" x14ac:dyDescent="0.25">
      <c r="A14" s="920">
        <v>6</v>
      </c>
      <c r="B14" s="1278" t="s">
        <v>499</v>
      </c>
      <c r="C14" s="1278"/>
      <c r="D14" s="1278"/>
      <c r="E14" s="1278"/>
      <c r="F14" s="1278"/>
      <c r="G14" s="1278"/>
      <c r="H14" s="1278"/>
      <c r="I14" s="1278"/>
      <c r="J14" s="1278"/>
      <c r="K14" s="1278"/>
      <c r="L14" s="1278"/>
      <c r="M14" s="1278"/>
      <c r="S14" s="916"/>
      <c r="T14" s="916"/>
    </row>
    <row r="15" spans="1:20" ht="12.75" customHeight="1" x14ac:dyDescent="0.25">
      <c r="A15" s="911"/>
      <c r="B15" s="912"/>
      <c r="C15" s="912"/>
      <c r="D15" s="912"/>
      <c r="F15" s="912"/>
      <c r="G15" s="912"/>
      <c r="H15" s="912"/>
      <c r="I15" s="919"/>
      <c r="J15" s="912"/>
      <c r="K15" s="912"/>
      <c r="L15" s="912"/>
      <c r="M15" s="912"/>
      <c r="S15" s="916"/>
      <c r="T15" s="916"/>
    </row>
    <row r="16" spans="1:20" ht="12.75" customHeight="1" x14ac:dyDescent="0.25">
      <c r="A16" s="911">
        <v>7</v>
      </c>
      <c r="B16" s="911" t="s">
        <v>500</v>
      </c>
      <c r="C16" s="912"/>
      <c r="D16" s="912"/>
      <c r="F16" s="912"/>
      <c r="G16" s="923"/>
      <c r="H16" s="923"/>
      <c r="I16" s="919"/>
      <c r="J16" s="912"/>
      <c r="K16" s="912"/>
      <c r="L16" s="912"/>
      <c r="M16" s="912"/>
      <c r="S16" s="916"/>
      <c r="T16" s="916"/>
    </row>
    <row r="17" spans="1:20" ht="40.5" customHeight="1" x14ac:dyDescent="0.25">
      <c r="A17" s="911"/>
      <c r="B17" s="1278" t="s">
        <v>501</v>
      </c>
      <c r="C17" s="1279"/>
      <c r="D17" s="1279"/>
      <c r="E17" s="1279"/>
      <c r="F17" s="1279"/>
      <c r="G17" s="1279"/>
      <c r="H17" s="1279"/>
      <c r="I17" s="1279"/>
      <c r="J17" s="1279"/>
      <c r="K17" s="1279"/>
      <c r="L17" s="1279"/>
      <c r="M17" s="1279"/>
      <c r="S17" s="916"/>
      <c r="T17" s="916"/>
    </row>
    <row r="18" spans="1:20" ht="12.75" customHeight="1" x14ac:dyDescent="0.25">
      <c r="A18" s="911"/>
      <c r="B18" s="924"/>
      <c r="C18" s="912"/>
      <c r="D18" s="912"/>
      <c r="E18" s="912"/>
      <c r="F18" s="912"/>
      <c r="G18" s="923"/>
      <c r="H18" s="923"/>
      <c r="I18" s="912"/>
      <c r="J18" s="912"/>
      <c r="K18" s="919"/>
      <c r="L18" s="912"/>
      <c r="M18" s="912"/>
      <c r="S18" s="916"/>
      <c r="T18" s="916"/>
    </row>
    <row r="19" spans="1:20" ht="12.75" customHeight="1" x14ac:dyDescent="0.25">
      <c r="A19" s="911">
        <v>8</v>
      </c>
      <c r="B19" s="911" t="s">
        <v>502</v>
      </c>
      <c r="C19" s="912"/>
      <c r="D19" s="912"/>
      <c r="E19" s="912"/>
      <c r="F19" s="912"/>
      <c r="G19" s="923"/>
      <c r="H19" s="923"/>
      <c r="I19" s="912"/>
      <c r="J19" s="912"/>
      <c r="K19" s="912"/>
      <c r="L19" s="912"/>
      <c r="M19" s="912"/>
      <c r="S19" s="916"/>
      <c r="T19" s="916"/>
    </row>
    <row r="20" spans="1:20" ht="40.5" customHeight="1" x14ac:dyDescent="0.25">
      <c r="A20" s="911"/>
      <c r="B20" s="1278" t="s">
        <v>503</v>
      </c>
      <c r="C20" s="1279"/>
      <c r="D20" s="1279"/>
      <c r="E20" s="1279"/>
      <c r="F20" s="1279"/>
      <c r="G20" s="1279"/>
      <c r="H20" s="1279"/>
      <c r="I20" s="1279"/>
      <c r="J20" s="1279"/>
      <c r="K20" s="1279"/>
      <c r="L20" s="1279"/>
      <c r="M20" s="1279"/>
      <c r="S20" s="916"/>
      <c r="T20" s="916"/>
    </row>
    <row r="21" spans="1:20" ht="12.75" customHeight="1" x14ac:dyDescent="0.3">
      <c r="B21" s="924"/>
      <c r="C21" s="912"/>
      <c r="D21" s="912"/>
      <c r="E21" s="912"/>
      <c r="F21" s="912"/>
      <c r="G21" s="923"/>
      <c r="H21" s="923"/>
      <c r="I21" s="912"/>
      <c r="J21" s="912"/>
      <c r="K21" s="912"/>
      <c r="L21" s="912"/>
      <c r="M21" s="912"/>
    </row>
    <row r="22" spans="1:20" ht="12.75" customHeight="1" x14ac:dyDescent="0.25">
      <c r="A22" s="911">
        <v>9</v>
      </c>
      <c r="B22" s="911" t="s">
        <v>397</v>
      </c>
      <c r="C22" s="912"/>
      <c r="D22" s="912"/>
      <c r="E22" s="912"/>
      <c r="F22" s="912"/>
      <c r="G22" s="923"/>
      <c r="H22" s="923"/>
      <c r="I22" s="912"/>
      <c r="J22" s="912"/>
      <c r="K22" s="912"/>
      <c r="L22" s="912"/>
      <c r="M22" s="912"/>
    </row>
    <row r="23" spans="1:20" ht="40.5" customHeight="1" x14ac:dyDescent="0.25">
      <c r="A23" s="911"/>
      <c r="B23" s="1278" t="s">
        <v>504</v>
      </c>
      <c r="C23" s="1279"/>
      <c r="D23" s="1279"/>
      <c r="E23" s="1279"/>
      <c r="F23" s="1279"/>
      <c r="G23" s="1279"/>
      <c r="H23" s="1279"/>
      <c r="I23" s="1279"/>
      <c r="J23" s="1279"/>
      <c r="K23" s="1279"/>
      <c r="L23" s="1279"/>
      <c r="M23" s="1279"/>
    </row>
    <row r="24" spans="1:20" ht="14" x14ac:dyDescent="0.3">
      <c r="B24" s="922"/>
      <c r="C24" s="907"/>
      <c r="D24" s="907"/>
      <c r="E24" s="907"/>
      <c r="F24" s="907"/>
      <c r="G24" s="907"/>
      <c r="H24" s="907"/>
      <c r="I24" s="907"/>
      <c r="J24" s="907"/>
      <c r="K24" s="907"/>
      <c r="L24" s="907"/>
      <c r="M24" s="907"/>
    </row>
    <row r="25" spans="1:20" ht="14" x14ac:dyDescent="0.25">
      <c r="A25" s="911">
        <v>10</v>
      </c>
      <c r="B25" s="911" t="s">
        <v>505</v>
      </c>
      <c r="C25" s="907"/>
      <c r="D25" s="907"/>
      <c r="E25" s="907"/>
      <c r="F25" s="907"/>
      <c r="G25" s="907"/>
      <c r="H25" s="907"/>
      <c r="I25" s="907"/>
      <c r="J25" s="907"/>
      <c r="K25" s="907"/>
      <c r="L25" s="907"/>
      <c r="M25" s="907"/>
    </row>
    <row r="26" spans="1:20" ht="43.5" customHeight="1" x14ac:dyDescent="0.25">
      <c r="A26" s="911"/>
      <c r="B26" s="1278" t="s">
        <v>506</v>
      </c>
      <c r="C26" s="1278"/>
      <c r="D26" s="1278"/>
      <c r="E26" s="1278"/>
      <c r="F26" s="1278"/>
      <c r="G26" s="1278"/>
      <c r="H26" s="1278"/>
      <c r="I26" s="1278"/>
      <c r="J26" s="1278"/>
      <c r="K26" s="1278"/>
      <c r="L26" s="1278"/>
      <c r="M26" s="1278"/>
    </row>
    <row r="27" spans="1:20" ht="27" customHeight="1" x14ac:dyDescent="0.25">
      <c r="A27" s="911"/>
      <c r="B27" s="1278" t="s">
        <v>507</v>
      </c>
      <c r="C27" s="1278"/>
      <c r="D27" s="1278"/>
      <c r="E27" s="1278"/>
      <c r="F27" s="1278"/>
      <c r="G27" s="1278"/>
      <c r="H27" s="1278"/>
      <c r="I27" s="1278"/>
      <c r="J27" s="1278"/>
      <c r="K27" s="1278"/>
      <c r="L27" s="1278"/>
      <c r="M27" s="1278"/>
    </row>
    <row r="28" spans="1:20" ht="12.75" customHeight="1" thickBot="1" x14ac:dyDescent="0.3">
      <c r="A28" s="926"/>
      <c r="B28" s="927"/>
      <c r="C28" s="928"/>
      <c r="D28" s="929"/>
    </row>
    <row r="29" spans="1:20" ht="12.75" customHeight="1" x14ac:dyDescent="0.25">
      <c r="A29" s="930"/>
      <c r="B29" s="931" t="s">
        <v>508</v>
      </c>
      <c r="C29" s="931"/>
      <c r="D29" s="932"/>
      <c r="E29" s="933"/>
      <c r="F29" s="933"/>
      <c r="G29" s="933"/>
      <c r="H29" s="933"/>
      <c r="I29" s="933"/>
      <c r="J29" s="933"/>
      <c r="K29" s="933"/>
      <c r="L29" s="933"/>
      <c r="M29" s="934"/>
    </row>
    <row r="30" spans="1:20" ht="12.75" customHeight="1" x14ac:dyDescent="0.3">
      <c r="A30" s="935"/>
      <c r="B30" s="936"/>
      <c r="C30" s="937"/>
      <c r="D30" s="938" t="s">
        <v>509</v>
      </c>
      <c r="E30" s="939" t="s">
        <v>159</v>
      </c>
      <c r="F30" s="937"/>
      <c r="G30" s="937"/>
      <c r="H30" s="937"/>
      <c r="I30" s="940" t="s">
        <v>510</v>
      </c>
      <c r="J30" s="941"/>
      <c r="K30" s="941"/>
      <c r="L30" s="941"/>
      <c r="M30" s="942"/>
    </row>
    <row r="31" spans="1:20" ht="12.75" customHeight="1" x14ac:dyDescent="0.3">
      <c r="A31" s="935"/>
      <c r="B31" s="936"/>
      <c r="C31" s="937"/>
      <c r="D31" s="938" t="s">
        <v>511</v>
      </c>
      <c r="E31" s="939" t="s">
        <v>448</v>
      </c>
      <c r="F31" s="943" t="s">
        <v>512</v>
      </c>
      <c r="G31" s="937"/>
      <c r="H31" s="937"/>
      <c r="I31" s="937" t="s">
        <v>513</v>
      </c>
      <c r="J31" s="941"/>
      <c r="K31" s="941"/>
      <c r="L31" s="941"/>
      <c r="M31" s="942"/>
    </row>
    <row r="32" spans="1:20" ht="12.75" customHeight="1" x14ac:dyDescent="0.3">
      <c r="A32" s="935"/>
      <c r="B32" s="936"/>
      <c r="C32" s="937"/>
      <c r="D32" s="938" t="s">
        <v>514</v>
      </c>
      <c r="E32" s="944">
        <v>1</v>
      </c>
      <c r="F32" s="943" t="s">
        <v>512</v>
      </c>
      <c r="G32" s="937"/>
      <c r="H32" s="937"/>
      <c r="I32" s="937" t="s">
        <v>515</v>
      </c>
      <c r="J32" s="941"/>
      <c r="K32" s="941"/>
      <c r="L32" s="941"/>
      <c r="M32" s="942"/>
    </row>
    <row r="33" spans="1:13" ht="12.75" customHeight="1" x14ac:dyDescent="0.3">
      <c r="A33" s="935"/>
      <c r="B33" s="936"/>
      <c r="C33" s="937"/>
      <c r="D33" s="938" t="s">
        <v>516</v>
      </c>
      <c r="E33" s="945">
        <v>41663</v>
      </c>
      <c r="F33" s="943" t="s">
        <v>512</v>
      </c>
      <c r="G33" s="937"/>
      <c r="H33" s="937"/>
      <c r="I33" s="946" t="s">
        <v>517</v>
      </c>
      <c r="J33" s="941"/>
      <c r="K33" s="941"/>
      <c r="L33" s="941"/>
      <c r="M33" s="942"/>
    </row>
    <row r="34" spans="1:13" ht="12.75" customHeight="1" x14ac:dyDescent="0.3">
      <c r="A34" s="935"/>
      <c r="B34" s="936"/>
      <c r="C34" s="937"/>
      <c r="D34" s="937" t="s">
        <v>518</v>
      </c>
      <c r="E34" s="939" t="s">
        <v>397</v>
      </c>
      <c r="F34" s="943" t="s">
        <v>519</v>
      </c>
      <c r="G34" s="937"/>
      <c r="H34" s="937"/>
      <c r="I34" s="947"/>
      <c r="J34" s="941"/>
      <c r="K34" s="941"/>
      <c r="L34" s="941"/>
      <c r="M34" s="942"/>
    </row>
    <row r="35" spans="1:13" ht="12.75" customHeight="1" x14ac:dyDescent="0.3">
      <c r="A35" s="948"/>
      <c r="B35" s="937"/>
      <c r="C35" s="937"/>
      <c r="D35" s="937"/>
      <c r="E35" s="941"/>
      <c r="F35" s="943" t="s">
        <v>520</v>
      </c>
      <c r="G35" s="937"/>
      <c r="H35" s="937"/>
      <c r="I35" s="949"/>
      <c r="J35" s="941"/>
      <c r="K35" s="941"/>
      <c r="L35" s="941"/>
      <c r="M35" s="942"/>
    </row>
    <row r="36" spans="1:13" ht="12.75" customHeight="1" x14ac:dyDescent="0.3">
      <c r="A36" s="948"/>
      <c r="B36" s="937"/>
      <c r="C36" s="937"/>
      <c r="D36" s="938" t="s">
        <v>490</v>
      </c>
      <c r="E36" s="950">
        <v>0.18</v>
      </c>
      <c r="F36" s="943" t="s">
        <v>521</v>
      </c>
      <c r="G36" s="937"/>
      <c r="H36" s="937"/>
      <c r="I36" s="949"/>
      <c r="J36" s="941"/>
      <c r="K36" s="941"/>
      <c r="L36" s="941"/>
      <c r="M36" s="942"/>
    </row>
    <row r="37" spans="1:13" ht="12.75" customHeight="1" x14ac:dyDescent="0.3">
      <c r="A37" s="948"/>
      <c r="B37" s="937"/>
      <c r="C37" s="937"/>
      <c r="D37" s="938" t="s">
        <v>491</v>
      </c>
      <c r="E37" s="950">
        <v>7.0000000000000007E-2</v>
      </c>
      <c r="F37" s="943" t="s">
        <v>521</v>
      </c>
      <c r="G37" s="937"/>
      <c r="H37" s="937"/>
      <c r="I37" s="941"/>
      <c r="J37" s="951"/>
      <c r="K37" s="941"/>
      <c r="L37" s="941"/>
      <c r="M37" s="942"/>
    </row>
    <row r="38" spans="1:13" ht="12.75" customHeight="1" x14ac:dyDescent="0.3">
      <c r="A38" s="948"/>
      <c r="B38" s="937"/>
      <c r="C38" s="937"/>
      <c r="D38" s="938" t="s">
        <v>522</v>
      </c>
      <c r="E38" s="952">
        <v>0</v>
      </c>
      <c r="F38" s="943" t="s">
        <v>521</v>
      </c>
      <c r="G38" s="953"/>
      <c r="H38" s="937"/>
      <c r="I38" s="941"/>
      <c r="J38" s="941"/>
      <c r="K38" s="941"/>
      <c r="L38" s="941"/>
      <c r="M38" s="942"/>
    </row>
    <row r="39" spans="1:13" ht="12.75" customHeight="1" x14ac:dyDescent="0.3">
      <c r="A39" s="948"/>
      <c r="B39" s="937"/>
      <c r="C39" s="937"/>
      <c r="D39" s="938" t="s">
        <v>523</v>
      </c>
      <c r="E39" s="952">
        <v>0.1</v>
      </c>
      <c r="F39" s="943"/>
      <c r="G39" s="953"/>
      <c r="H39" s="937"/>
      <c r="I39" s="941"/>
      <c r="J39" s="941"/>
      <c r="K39" s="941"/>
      <c r="L39" s="941"/>
      <c r="M39" s="942"/>
    </row>
    <row r="40" spans="1:13" ht="12.75" customHeight="1" x14ac:dyDescent="0.3">
      <c r="A40" s="948"/>
      <c r="B40" s="937"/>
      <c r="C40" s="937"/>
      <c r="D40" s="937"/>
      <c r="E40" s="946" t="s">
        <v>524</v>
      </c>
      <c r="F40" s="937"/>
      <c r="G40" s="953"/>
      <c r="H40" s="937"/>
      <c r="I40" s="941"/>
      <c r="J40" s="941"/>
      <c r="K40" s="941"/>
      <c r="L40" s="941"/>
      <c r="M40" s="942"/>
    </row>
    <row r="41" spans="1:13" ht="12.75" customHeight="1" x14ac:dyDescent="0.3">
      <c r="A41" s="948"/>
      <c r="B41" s="937"/>
      <c r="C41" s="937"/>
      <c r="D41" s="937"/>
      <c r="E41" s="946"/>
      <c r="F41" s="937"/>
      <c r="G41" s="953"/>
      <c r="H41" s="937"/>
      <c r="I41" s="941"/>
      <c r="J41" s="941"/>
      <c r="K41" s="941"/>
      <c r="L41" s="941"/>
      <c r="M41" s="942"/>
    </row>
    <row r="42" spans="1:13" ht="12.75" customHeight="1" thickBot="1" x14ac:dyDescent="0.35">
      <c r="A42" s="954"/>
      <c r="B42" s="955"/>
      <c r="C42" s="955"/>
      <c r="D42" s="955"/>
      <c r="E42" s="955"/>
      <c r="F42" s="955"/>
      <c r="G42" s="955"/>
      <c r="H42" s="955"/>
      <c r="I42" s="956"/>
      <c r="J42" s="956"/>
      <c r="K42" s="956"/>
      <c r="L42" s="956"/>
      <c r="M42" s="957"/>
    </row>
    <row r="44" spans="1:13" ht="12.75" customHeight="1" x14ac:dyDescent="0.3">
      <c r="B44" s="958" t="s">
        <v>525</v>
      </c>
    </row>
    <row r="45" spans="1:13" ht="12.75" customHeight="1" x14ac:dyDescent="0.3">
      <c r="B45" s="908" t="s">
        <v>526</v>
      </c>
    </row>
    <row r="47" spans="1:13" ht="12.75" customHeight="1" x14ac:dyDescent="0.3">
      <c r="B47" s="908" t="s">
        <v>527</v>
      </c>
    </row>
    <row r="49" spans="1:2" ht="12.75" customHeight="1" x14ac:dyDescent="0.3">
      <c r="A49" s="925">
        <v>11</v>
      </c>
      <c r="B49" s="958" t="s">
        <v>13</v>
      </c>
    </row>
    <row r="50" spans="1:2" ht="12.75" customHeight="1" x14ac:dyDescent="0.3">
      <c r="B50" s="908" t="s">
        <v>528</v>
      </c>
    </row>
    <row r="51" spans="1:2" ht="12.75" customHeight="1" x14ac:dyDescent="0.3">
      <c r="B51" s="908" t="s">
        <v>529</v>
      </c>
    </row>
    <row r="53" spans="1:2" ht="12.75" customHeight="1" x14ac:dyDescent="0.3">
      <c r="A53" s="925">
        <v>12</v>
      </c>
      <c r="B53" s="958" t="s">
        <v>11</v>
      </c>
    </row>
    <row r="54" spans="1:2" ht="12.75" customHeight="1" x14ac:dyDescent="0.3">
      <c r="B54" s="908" t="s">
        <v>528</v>
      </c>
    </row>
    <row r="56" spans="1:2" ht="12.75" customHeight="1" x14ac:dyDescent="0.3">
      <c r="A56" s="925">
        <v>13</v>
      </c>
      <c r="B56" s="958" t="s">
        <v>530</v>
      </c>
    </row>
    <row r="57" spans="1:2" ht="12.75" customHeight="1" x14ac:dyDescent="0.3">
      <c r="B57" s="908" t="s">
        <v>531</v>
      </c>
    </row>
    <row r="58" spans="1:2" ht="12.75" customHeight="1" x14ac:dyDescent="0.3">
      <c r="B58" s="908" t="s">
        <v>532</v>
      </c>
    </row>
    <row r="59" spans="1:2" ht="12.75" customHeight="1" x14ac:dyDescent="0.3">
      <c r="B59" s="908" t="s">
        <v>533</v>
      </c>
    </row>
    <row r="61" spans="1:2" ht="12.75" customHeight="1" x14ac:dyDescent="0.3">
      <c r="A61" s="925">
        <v>14</v>
      </c>
      <c r="B61" s="958" t="s">
        <v>534</v>
      </c>
    </row>
    <row r="62" spans="1:2" ht="12.75" customHeight="1" x14ac:dyDescent="0.3">
      <c r="B62" s="908" t="s">
        <v>535</v>
      </c>
    </row>
    <row r="63" spans="1:2" ht="12.75" customHeight="1" x14ac:dyDescent="0.3">
      <c r="B63" s="908" t="s">
        <v>536</v>
      </c>
    </row>
    <row r="65" spans="1:2" ht="12.75" customHeight="1" x14ac:dyDescent="0.3">
      <c r="A65" s="925">
        <v>15</v>
      </c>
      <c r="B65" s="958" t="s">
        <v>537</v>
      </c>
    </row>
  </sheetData>
  <sheetProtection sheet="1" objects="1" scenarios="1"/>
  <customSheetViews>
    <customSheetView guid="{2B0692CF-4177-422C-A620-ABA6158FDE4D}" state="hidden">
      <selection activeCell="B20" sqref="B20:M20"/>
      <rowBreaks count="2" manualBreakCount="2">
        <brk id="24" max="16383" man="1"/>
        <brk id="60" max="16383" man="1"/>
      </rowBreaks>
      <pageMargins left="0.74803149606299213" right="0.74803149606299213" top="1.1811023622047245" bottom="0.59055118110236227" header="0.59055118110236227" footer="0.23622047244094491"/>
      <pageSetup paperSize="9" scale="95" orientation="landscape" cellComments="asDisplayed" r:id="rId1"/>
      <headerFooter alignWithMargins="0">
        <oddHeader>&amp;R&amp;G&amp;L&amp;10Project: Project XYZ
Cost Plan 1
Date: 16 March 2009</oddHeader>
        <oddFooter>&amp;L&amp;6&amp;Z&amp;F</oddFooter>
      </headerFooter>
    </customSheetView>
    <customSheetView guid="{6C33A4D3-AF33-443C-A522-C1A990C51A36}" state="hidden">
      <selection activeCell="B20" sqref="B20:M20"/>
      <rowBreaks count="2" manualBreakCount="2">
        <brk id="24" max="16383" man="1"/>
        <brk id="60" max="16383" man="1"/>
      </rowBreaks>
      <pageMargins left="0.74803149606299213" right="0.74803149606299213" top="1.1811023622047245" bottom="0.59055118110236227" header="0.59055118110236227" footer="0.23622047244094491"/>
      <pageSetup paperSize="9" scale="95" orientation="landscape" cellComments="asDisplayed" r:id="rId2"/>
      <headerFooter alignWithMargins="0">
        <oddHeader>&amp;R&amp;G&amp;L&amp;10Project: Project XYZ
Cost Plan 1
Date: 16 March 2009</oddHeader>
        <oddFooter>&amp;L&amp;6&amp;Z&amp;F</oddFooter>
      </headerFooter>
    </customSheetView>
  </customSheetViews>
  <mergeCells count="11">
    <mergeCell ref="B14:M14"/>
    <mergeCell ref="B4:M4"/>
    <mergeCell ref="B6:M6"/>
    <mergeCell ref="B8:M8"/>
    <mergeCell ref="B10:M10"/>
    <mergeCell ref="B12:M12"/>
    <mergeCell ref="B17:M17"/>
    <mergeCell ref="B20:M20"/>
    <mergeCell ref="B23:M23"/>
    <mergeCell ref="B26:M26"/>
    <mergeCell ref="B27:M27"/>
  </mergeCells>
  <dataValidations count="1">
    <dataValidation type="list" allowBlank="1" showInputMessage="1" sqref="E34" xr:uid="{00000000-0002-0000-0000-000000000000}">
      <formula1>"Cost Model, Indicative Cost Plan, Cost Plan"</formula1>
    </dataValidation>
  </dataValidations>
  <pageMargins left="0.74803149606299213" right="0.74803149606299213" top="1.1811023622047245" bottom="0.59055118110236227" header="0.59055118110236227" footer="0.23622047244094491"/>
  <pageSetup paperSize="9" scale="95" orientation="landscape" cellComments="asDisplayed" r:id="rId3"/>
  <headerFooter alignWithMargins="0">
    <oddHeader>&amp;R&amp;G&amp;L&amp;10Project: Project XYZ
Cost Plan 1
Date: 16 March 2009</oddHeader>
    <oddFooter>&amp;L&amp;6&amp;Z&amp;F</oddFooter>
  </headerFooter>
  <rowBreaks count="2" manualBreakCount="2">
    <brk id="24" max="16383" man="1"/>
    <brk id="60" max="16383" man="1"/>
  </rowBreaks>
  <legacyDrawing r:id="rId4"/>
  <legacyDrawingHF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4"/>
  </sheetPr>
  <dimension ref="A1:L35"/>
  <sheetViews>
    <sheetView view="pageBreakPreview" zoomScaleNormal="100" workbookViewId="0">
      <selection activeCell="A8" sqref="A8:G15"/>
    </sheetView>
  </sheetViews>
  <sheetFormatPr defaultColWidth="9" defaultRowHeight="12.5" x14ac:dyDescent="0.25"/>
  <cols>
    <col min="1" max="1" width="12.58203125" style="1" customWidth="1"/>
    <col min="2" max="2" width="14" style="1" customWidth="1"/>
    <col min="3" max="3" width="8.58203125" style="1" customWidth="1"/>
    <col min="4" max="4" width="11.33203125" style="1" customWidth="1"/>
    <col min="5" max="5" width="10.33203125" style="1" customWidth="1"/>
    <col min="6" max="6" width="9.33203125" style="1" customWidth="1"/>
    <col min="7" max="7" width="10.33203125" style="1" customWidth="1"/>
    <col min="8" max="8" width="9.83203125" style="1" customWidth="1"/>
    <col min="9" max="9" width="10.08203125" style="1" customWidth="1"/>
    <col min="10" max="10" width="9.6640625" style="1" customWidth="1"/>
    <col min="11" max="11" width="10.83203125" style="1" customWidth="1"/>
    <col min="12" max="12" width="8.08203125" style="1" customWidth="1"/>
    <col min="13" max="16384" width="9" style="1"/>
  </cols>
  <sheetData>
    <row r="1" spans="1:12" s="30" customFormat="1" ht="19" x14ac:dyDescent="0.4">
      <c r="A1" s="298" t="e">
        <f>client</f>
        <v>#REF!</v>
      </c>
      <c r="J1" s="316"/>
      <c r="K1" s="316" t="e">
        <f>#REF!</f>
        <v>#REF!</v>
      </c>
    </row>
    <row r="2" spans="1:12" s="30" customFormat="1" ht="19" x14ac:dyDescent="0.4">
      <c r="A2" s="297" t="e">
        <f>project</f>
        <v>#REF!</v>
      </c>
      <c r="I2" s="338"/>
      <c r="J2" s="338"/>
      <c r="K2" s="474" t="e">
        <f>#REF!</f>
        <v>#REF!</v>
      </c>
    </row>
    <row r="3" spans="1:12" s="30" customFormat="1" ht="12.75" customHeight="1" x14ac:dyDescent="0.25">
      <c r="A3" s="31"/>
    </row>
    <row r="4" spans="1:12" s="30" customFormat="1" ht="19" x14ac:dyDescent="0.4">
      <c r="A4" s="38" t="e">
        <f>+#REF!</f>
        <v>#REF!</v>
      </c>
    </row>
    <row r="6" spans="1:12" x14ac:dyDescent="0.25">
      <c r="A6" s="336" t="s">
        <v>310</v>
      </c>
      <c r="B6" s="461"/>
      <c r="C6" s="461"/>
    </row>
    <row r="7" spans="1:12" ht="12.75" customHeight="1" x14ac:dyDescent="0.25">
      <c r="A7" s="323"/>
      <c r="B7" s="1312"/>
      <c r="C7" s="1312"/>
      <c r="D7" s="1312"/>
      <c r="E7" s="1312"/>
      <c r="F7" s="1312"/>
      <c r="G7" s="321"/>
      <c r="H7" s="30"/>
      <c r="I7" s="30"/>
    </row>
    <row r="8" spans="1:12" ht="12.75" customHeight="1" x14ac:dyDescent="0.25">
      <c r="A8" s="323"/>
      <c r="B8" s="1311"/>
      <c r="C8" s="1311"/>
      <c r="D8" s="473"/>
      <c r="E8" s="473"/>
      <c r="F8" s="30"/>
      <c r="G8" s="321"/>
      <c r="H8" s="30"/>
      <c r="I8" s="30"/>
      <c r="K8" s="6"/>
      <c r="L8" s="6"/>
    </row>
    <row r="9" spans="1:12" ht="12.75" customHeight="1" x14ac:dyDescent="0.3">
      <c r="A9" s="323"/>
      <c r="B9" s="1311"/>
      <c r="C9" s="1311"/>
      <c r="D9" s="1311"/>
      <c r="E9" s="1311"/>
      <c r="F9" s="1311"/>
      <c r="G9" s="1311"/>
      <c r="H9" s="322"/>
      <c r="I9" s="322"/>
      <c r="J9" s="322"/>
      <c r="K9" s="302"/>
      <c r="L9" s="302"/>
    </row>
    <row r="10" spans="1:12" ht="14.25" customHeight="1" x14ac:dyDescent="0.3">
      <c r="A10" s="323"/>
      <c r="B10" s="1311"/>
      <c r="C10" s="1311"/>
      <c r="D10" s="1311"/>
      <c r="E10" s="1311"/>
      <c r="F10" s="1311"/>
      <c r="H10" s="324"/>
      <c r="I10" s="40"/>
      <c r="J10" s="322"/>
      <c r="K10" s="326"/>
      <c r="L10" s="326"/>
    </row>
    <row r="11" spans="1:12" ht="12.75" customHeight="1" x14ac:dyDescent="0.3">
      <c r="A11" s="323"/>
      <c r="B11" s="1311"/>
      <c r="C11" s="1311"/>
      <c r="D11" s="1311"/>
      <c r="E11" s="1311"/>
      <c r="F11" s="1311"/>
      <c r="H11" s="55"/>
      <c r="I11" s="321"/>
      <c r="J11" s="322"/>
      <c r="K11" s="302"/>
      <c r="L11" s="302"/>
    </row>
    <row r="12" spans="1:12" ht="12.75" customHeight="1" x14ac:dyDescent="0.25">
      <c r="A12" s="323"/>
      <c r="B12" s="1311"/>
      <c r="C12" s="1311"/>
      <c r="D12" s="1311"/>
      <c r="E12" s="1311"/>
      <c r="F12" s="321"/>
      <c r="H12" s="55"/>
      <c r="I12" s="321"/>
      <c r="J12" s="322"/>
      <c r="K12" s="329"/>
      <c r="L12" s="329"/>
    </row>
    <row r="13" spans="1:12" ht="12.75" customHeight="1" x14ac:dyDescent="0.25">
      <c r="H13" s="55"/>
      <c r="I13" s="321"/>
      <c r="J13" s="322"/>
      <c r="K13" s="330"/>
      <c r="L13" s="330"/>
    </row>
    <row r="14" spans="1:12" ht="12.75" customHeight="1" x14ac:dyDescent="0.25">
      <c r="H14" s="55"/>
      <c r="I14" s="321"/>
      <c r="J14" s="322"/>
      <c r="K14" s="303"/>
      <c r="L14" s="303"/>
    </row>
    <row r="15" spans="1:12" x14ac:dyDescent="0.25">
      <c r="B15" s="476"/>
      <c r="E15" s="55"/>
      <c r="F15" s="321"/>
      <c r="H15" s="55"/>
      <c r="I15" s="321"/>
      <c r="J15" s="322"/>
      <c r="K15" s="320"/>
      <c r="L15" s="320"/>
    </row>
    <row r="16" spans="1:12" x14ac:dyDescent="0.25">
      <c r="E16" s="55"/>
      <c r="F16" s="321"/>
      <c r="H16" s="55"/>
      <c r="I16" s="321"/>
      <c r="J16" s="322"/>
      <c r="K16" s="303"/>
      <c r="L16" s="327"/>
    </row>
    <row r="17" spans="1:12" ht="12.75" customHeight="1" x14ac:dyDescent="0.25">
      <c r="E17" s="55"/>
      <c r="F17" s="321"/>
      <c r="H17" s="55"/>
      <c r="I17" s="321"/>
      <c r="J17" s="322"/>
      <c r="K17" s="320"/>
      <c r="L17" s="328"/>
    </row>
    <row r="18" spans="1:12" ht="14" x14ac:dyDescent="0.3">
      <c r="E18" s="55"/>
      <c r="F18" s="321"/>
      <c r="H18" s="55"/>
      <c r="I18" s="321"/>
      <c r="J18" s="322"/>
      <c r="K18" s="308"/>
      <c r="L18" s="328"/>
    </row>
    <row r="19" spans="1:12" x14ac:dyDescent="0.25">
      <c r="E19" s="55"/>
      <c r="F19" s="321"/>
      <c r="H19" s="55"/>
      <c r="I19" s="321"/>
      <c r="J19" s="322"/>
      <c r="K19" s="320"/>
      <c r="L19" s="320"/>
    </row>
    <row r="20" spans="1:12" ht="15.5" x14ac:dyDescent="0.55000000000000004">
      <c r="E20" s="314"/>
      <c r="G20" s="325"/>
      <c r="H20" s="314"/>
      <c r="I20" s="325"/>
      <c r="J20" s="325"/>
      <c r="K20" s="308"/>
      <c r="L20" s="308"/>
    </row>
    <row r="21" spans="1:12" ht="13" x14ac:dyDescent="0.3">
      <c r="B21" s="305"/>
      <c r="E21" s="314"/>
      <c r="G21" s="300"/>
      <c r="H21" s="314"/>
      <c r="I21" s="300"/>
      <c r="J21" s="300"/>
      <c r="K21" s="308"/>
      <c r="L21" s="308"/>
    </row>
    <row r="22" spans="1:12" ht="13" x14ac:dyDescent="0.3">
      <c r="B22" s="309"/>
      <c r="C22" s="310"/>
      <c r="D22" s="310"/>
      <c r="E22" s="303"/>
      <c r="F22" s="306"/>
      <c r="G22" s="300"/>
      <c r="H22" s="303"/>
      <c r="I22" s="300"/>
      <c r="J22" s="301"/>
      <c r="K22" s="306"/>
      <c r="L22" s="306"/>
    </row>
    <row r="23" spans="1:12" ht="13" x14ac:dyDescent="0.3">
      <c r="A23" s="55"/>
      <c r="B23" s="6"/>
      <c r="C23" s="310"/>
      <c r="D23" s="310"/>
      <c r="E23" s="302"/>
      <c r="F23" s="306"/>
      <c r="G23" s="300"/>
      <c r="H23" s="302"/>
      <c r="I23" s="300"/>
      <c r="J23" s="301"/>
      <c r="K23" s="308"/>
      <c r="L23" s="308"/>
    </row>
    <row r="24" spans="1:12" ht="13" x14ac:dyDescent="0.3">
      <c r="A24" s="30"/>
      <c r="B24" s="311"/>
      <c r="E24" s="315"/>
      <c r="F24" s="306"/>
      <c r="G24" s="300"/>
      <c r="H24" s="315"/>
      <c r="I24" s="300"/>
      <c r="J24" s="301"/>
      <c r="K24" s="313"/>
      <c r="L24" s="313"/>
    </row>
    <row r="25" spans="1:12" ht="13" x14ac:dyDescent="0.3">
      <c r="A25" s="30"/>
      <c r="F25" s="306"/>
      <c r="G25" s="300"/>
      <c r="I25" s="300"/>
      <c r="J25" s="301"/>
      <c r="K25" s="313"/>
      <c r="L25" s="313"/>
    </row>
    <row r="26" spans="1:12" ht="13" x14ac:dyDescent="0.3">
      <c r="A26" s="30"/>
      <c r="F26" s="306"/>
      <c r="G26" s="300"/>
      <c r="I26" s="300"/>
      <c r="J26" s="301"/>
      <c r="K26" s="313"/>
      <c r="L26" s="313"/>
    </row>
    <row r="27" spans="1:12" ht="13" x14ac:dyDescent="0.3">
      <c r="A27" s="30"/>
      <c r="B27" s="311"/>
      <c r="C27" s="306"/>
      <c r="D27" s="306"/>
      <c r="E27" s="313"/>
      <c r="F27" s="306"/>
      <c r="G27" s="300"/>
      <c r="H27" s="313"/>
      <c r="I27" s="300"/>
      <c r="J27" s="301"/>
      <c r="K27" s="313"/>
      <c r="L27" s="313"/>
    </row>
    <row r="28" spans="1:12" x14ac:dyDescent="0.25">
      <c r="B28" s="311"/>
      <c r="C28" s="306"/>
      <c r="D28" s="306"/>
      <c r="E28" s="313"/>
      <c r="F28" s="306"/>
      <c r="G28" s="306"/>
      <c r="H28" s="313"/>
      <c r="I28" s="313"/>
      <c r="J28" s="312"/>
      <c r="K28" s="313"/>
      <c r="L28" s="313"/>
    </row>
    <row r="29" spans="1:12" ht="13" x14ac:dyDescent="0.3">
      <c r="B29" s="311"/>
      <c r="C29" s="306"/>
      <c r="D29" s="306"/>
      <c r="E29" s="308"/>
      <c r="F29" s="308"/>
      <c r="G29" s="308"/>
      <c r="H29" s="308"/>
      <c r="I29" s="308"/>
      <c r="J29" s="308"/>
      <c r="K29" s="308"/>
      <c r="L29" s="308"/>
    </row>
    <row r="30" spans="1:12" ht="13" x14ac:dyDescent="0.3">
      <c r="B30" s="311"/>
      <c r="C30" s="306"/>
      <c r="D30" s="306"/>
      <c r="E30" s="311"/>
      <c r="F30" s="308"/>
      <c r="G30" s="308"/>
      <c r="H30" s="311"/>
      <c r="I30" s="308"/>
      <c r="J30" s="308"/>
      <c r="K30" s="308"/>
      <c r="L30" s="308"/>
    </row>
    <row r="31" spans="1:12" ht="13" x14ac:dyDescent="0.3">
      <c r="B31" s="311"/>
      <c r="C31" s="306"/>
      <c r="D31" s="306"/>
      <c r="E31" s="308"/>
      <c r="F31" s="308"/>
      <c r="G31" s="308"/>
      <c r="H31" s="308"/>
      <c r="I31" s="308"/>
      <c r="J31" s="308"/>
      <c r="K31" s="308"/>
      <c r="L31" s="308"/>
    </row>
    <row r="32" spans="1:12" ht="13" x14ac:dyDescent="0.3">
      <c r="C32" s="299"/>
      <c r="D32" s="299"/>
      <c r="E32" s="307"/>
      <c r="F32" s="307"/>
      <c r="G32" s="307"/>
      <c r="H32" s="307"/>
      <c r="I32" s="308"/>
      <c r="J32" s="308"/>
      <c r="K32" s="308"/>
      <c r="L32" s="308"/>
    </row>
    <row r="33" spans="2:12" x14ac:dyDescent="0.25">
      <c r="B33" s="299"/>
      <c r="C33" s="299"/>
      <c r="D33" s="299"/>
      <c r="E33" s="304"/>
      <c r="F33" s="304"/>
      <c r="G33" s="304"/>
      <c r="H33" s="304"/>
      <c r="I33" s="304"/>
      <c r="J33" s="304"/>
      <c r="K33" s="304"/>
      <c r="L33" s="304"/>
    </row>
    <row r="34" spans="2:12" x14ac:dyDescent="0.25">
      <c r="B34" s="299"/>
      <c r="C34" s="299"/>
      <c r="D34" s="299"/>
      <c r="E34" s="299"/>
      <c r="F34" s="299"/>
      <c r="G34" s="299"/>
      <c r="H34" s="299"/>
      <c r="I34" s="299"/>
      <c r="J34" s="299"/>
      <c r="K34" s="299"/>
      <c r="L34" s="299"/>
    </row>
    <row r="35" spans="2:12" x14ac:dyDescent="0.25">
      <c r="B35" s="304"/>
      <c r="C35" s="304"/>
      <c r="D35" s="304"/>
      <c r="E35" s="304"/>
      <c r="F35" s="304"/>
      <c r="G35" s="304"/>
      <c r="H35" s="304"/>
      <c r="I35" s="304"/>
      <c r="J35" s="304"/>
      <c r="K35" s="304"/>
      <c r="L35" s="304"/>
    </row>
  </sheetData>
  <customSheetViews>
    <customSheetView guid="{2B0692CF-4177-422C-A620-ABA6158FDE4D}" showPageBreaks="1" printArea="1" state="hidden" view="pageBreakPreview">
      <selection activeCell="A8" sqref="A8:G15"/>
      <pageMargins left="0.74803149606299213" right="0.74803149606299213" top="0.78740157480314965" bottom="0.98425196850393704" header="0.51181102362204722" footer="0.51181102362204722"/>
      <pageSetup paperSize="9" orientation="landscape" cellComments="asDisplayed" r:id="rId1"/>
      <headerFooter alignWithMargins="0">
        <oddHeader>&amp;L&amp;"Arial,Bold"&amp;7AECOM</oddHeader>
        <oddFooter>&amp;L&amp;"Arial,Bold"&amp;7Program, Cost, Consultancy&amp;"Arial,Regular"
www.aecom.com&amp;R&amp;8Page &amp;P</oddFooter>
      </headerFooter>
    </customSheetView>
    <customSheetView guid="{6C33A4D3-AF33-443C-A522-C1A990C51A36}" showPageBreaks="1" printArea="1" state="hidden" view="pageBreakPreview">
      <selection activeCell="A8" sqref="A8:G15"/>
      <pageMargins left="0.74803149606299213" right="0.74803149606299213" top="0.78740157480314965" bottom="0.98425196850393704" header="0.51181102362204722" footer="0.51181102362204722"/>
      <pageSetup paperSize="9" orientation="landscape" cellComments="asDisplayed" r:id="rId2"/>
      <headerFooter alignWithMargins="0">
        <oddHeader>&amp;L&amp;"Arial,Bold"&amp;7AECOM</oddHeader>
        <oddFooter>&amp;L&amp;"Arial,Bold"&amp;7Program, Cost, Consultancy&amp;"Arial,Regular"
www.aecom.com&amp;R&amp;8Page &amp;P</oddFooter>
      </headerFooter>
    </customSheetView>
  </customSheetViews>
  <mergeCells count="6">
    <mergeCell ref="B9:G9"/>
    <mergeCell ref="B10:F10"/>
    <mergeCell ref="B11:F11"/>
    <mergeCell ref="B12:E12"/>
    <mergeCell ref="B7:F7"/>
    <mergeCell ref="B8:C8"/>
  </mergeCells>
  <pageMargins left="0.74803149606299213" right="0.74803149606299213" top="0.78740157480314965" bottom="0.98425196850393704" header="0.51181102362204722" footer="0.51181102362204722"/>
  <pageSetup paperSize="9" orientation="landscape" cellComments="asDisplayed" r:id="rId3"/>
  <headerFooter alignWithMargins="0">
    <oddHeader>&amp;L&amp;"Arial,Bold"&amp;7AECOM</oddHeader>
    <oddFooter>&amp;L&amp;"Arial,Bold"&amp;7Program, Cost, Consultancy&amp;"Arial,Regular"
www.aecom.com&amp;R&amp;8Page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23"/>
  <sheetViews>
    <sheetView view="pageBreakPreview" topLeftCell="A13" zoomScaleNormal="100" zoomScaleSheetLayoutView="100" workbookViewId="0">
      <selection activeCell="A11" sqref="A11"/>
    </sheetView>
  </sheetViews>
  <sheetFormatPr defaultRowHeight="14" x14ac:dyDescent="0.3"/>
  <cols>
    <col min="1" max="1" width="61.5" customWidth="1"/>
    <col min="2" max="2" width="13" bestFit="1" customWidth="1"/>
    <col min="3" max="3" width="28.33203125" customWidth="1"/>
  </cols>
  <sheetData>
    <row r="1" spans="1:26" s="1108" customFormat="1" ht="18" x14ac:dyDescent="0.3">
      <c r="A1" s="1277" t="s">
        <v>813</v>
      </c>
      <c r="B1" s="1099"/>
      <c r="C1" s="1106"/>
      <c r="D1" s="1107"/>
      <c r="G1" s="1109"/>
      <c r="H1" s="1110"/>
      <c r="K1" s="1111"/>
      <c r="L1"/>
      <c r="M1" s="1112"/>
      <c r="N1"/>
      <c r="O1"/>
      <c r="P1"/>
      <c r="Q1"/>
      <c r="R1"/>
      <c r="S1" s="1107"/>
      <c r="T1" s="1107"/>
      <c r="U1" s="1107"/>
      <c r="V1" s="1107"/>
      <c r="W1" s="1107"/>
      <c r="X1" s="1107"/>
      <c r="Y1" s="1107"/>
      <c r="Z1" s="1107"/>
    </row>
    <row r="2" spans="1:26" s="1100" customFormat="1" ht="15.5" x14ac:dyDescent="0.3">
      <c r="A2" s="1104" t="s">
        <v>776</v>
      </c>
      <c r="B2" s="1102"/>
      <c r="C2" s="1102"/>
      <c r="H2" s="1113"/>
      <c r="J2" s="1209"/>
      <c r="K2" s="1104"/>
      <c r="L2"/>
      <c r="M2" s="1112"/>
      <c r="N2"/>
      <c r="O2"/>
      <c r="P2"/>
      <c r="Q2"/>
      <c r="R2"/>
      <c r="S2" s="1101"/>
      <c r="T2" s="1101"/>
      <c r="U2" s="1101"/>
      <c r="V2" s="1101"/>
      <c r="W2" s="1101"/>
      <c r="X2" s="1101"/>
      <c r="Y2" s="1101"/>
      <c r="Z2" s="1101"/>
    </row>
    <row r="3" spans="1:26" s="1100" customFormat="1" ht="40.25" customHeight="1" x14ac:dyDescent="0.3">
      <c r="A3" s="1313" t="s">
        <v>812</v>
      </c>
      <c r="B3" s="1313"/>
      <c r="C3" s="1102"/>
      <c r="H3" s="1113"/>
      <c r="J3" s="1209"/>
      <c r="K3" s="1104"/>
      <c r="L3"/>
      <c r="M3" s="1112"/>
      <c r="N3"/>
      <c r="O3"/>
      <c r="P3"/>
      <c r="Q3"/>
      <c r="R3"/>
      <c r="S3" s="1101"/>
      <c r="T3" s="1101"/>
      <c r="U3" s="1101"/>
      <c r="V3" s="1101"/>
      <c r="W3" s="1101"/>
      <c r="X3" s="1101"/>
      <c r="Y3" s="1101"/>
      <c r="Z3" s="1101"/>
    </row>
    <row r="4" spans="1:26" ht="39" x14ac:dyDescent="0.3">
      <c r="A4" s="1245" t="s">
        <v>764</v>
      </c>
      <c r="B4" s="1247" t="s">
        <v>765</v>
      </c>
      <c r="C4" s="1252" t="s">
        <v>766</v>
      </c>
    </row>
    <row r="5" spans="1:26" ht="42" x14ac:dyDescent="0.3">
      <c r="A5" s="1223" t="s">
        <v>760</v>
      </c>
      <c r="B5" s="1246"/>
      <c r="C5" s="1224"/>
    </row>
    <row r="6" spans="1:26" ht="140" x14ac:dyDescent="0.3">
      <c r="A6" s="1225" t="s">
        <v>770</v>
      </c>
      <c r="B6" s="1246"/>
      <c r="C6" s="1224"/>
    </row>
    <row r="7" spans="1:26" ht="28" x14ac:dyDescent="0.3">
      <c r="A7" s="1225" t="s">
        <v>761</v>
      </c>
      <c r="B7" s="1246"/>
      <c r="C7" s="1224"/>
    </row>
    <row r="8" spans="1:26" ht="56" x14ac:dyDescent="0.3">
      <c r="A8" s="1225" t="s">
        <v>762</v>
      </c>
      <c r="B8" s="1246"/>
      <c r="C8" s="1224"/>
    </row>
    <row r="9" spans="1:26" ht="42" x14ac:dyDescent="0.3">
      <c r="A9" s="1226" t="s">
        <v>763</v>
      </c>
      <c r="B9" s="1246"/>
      <c r="C9" s="1224"/>
    </row>
    <row r="10" spans="1:26" ht="28" x14ac:dyDescent="0.3">
      <c r="A10" s="1226" t="s">
        <v>775</v>
      </c>
      <c r="B10" s="1246"/>
      <c r="C10" s="1224"/>
    </row>
    <row r="11" spans="1:26" ht="56" x14ac:dyDescent="0.3">
      <c r="A11" s="1226" t="s">
        <v>774</v>
      </c>
      <c r="B11" s="1246"/>
      <c r="C11" s="1224"/>
    </row>
    <row r="12" spans="1:26" x14ac:dyDescent="0.3">
      <c r="A12" s="1248"/>
      <c r="B12" s="1249"/>
      <c r="C12" s="1250"/>
    </row>
    <row r="13" spans="1:26" x14ac:dyDescent="0.3">
      <c r="B13" s="1221"/>
    </row>
    <row r="15" spans="1:26" x14ac:dyDescent="0.3">
      <c r="A15" s="1222" t="s">
        <v>773</v>
      </c>
    </row>
    <row r="16" spans="1:26" ht="26" x14ac:dyDescent="0.3">
      <c r="A16" s="1245" t="s">
        <v>767</v>
      </c>
      <c r="B16" s="1247" t="s">
        <v>769</v>
      </c>
      <c r="C16" s="1252" t="s">
        <v>13</v>
      </c>
    </row>
    <row r="17" spans="1:3" ht="35" x14ac:dyDescent="0.3">
      <c r="A17" s="1251" t="s">
        <v>768</v>
      </c>
      <c r="B17" s="1224"/>
      <c r="C17" s="1224"/>
    </row>
    <row r="18" spans="1:3" x14ac:dyDescent="0.3">
      <c r="A18" s="1224"/>
      <c r="B18" s="1224"/>
      <c r="C18" s="1224"/>
    </row>
    <row r="19" spans="1:3" x14ac:dyDescent="0.3">
      <c r="A19" s="1224"/>
      <c r="B19" s="1224"/>
      <c r="C19" s="1224"/>
    </row>
    <row r="20" spans="1:3" x14ac:dyDescent="0.3">
      <c r="A20" s="1224"/>
      <c r="B20" s="1224"/>
      <c r="C20" s="1224"/>
    </row>
    <row r="21" spans="1:3" x14ac:dyDescent="0.3">
      <c r="A21" s="1224"/>
      <c r="B21" s="1224"/>
      <c r="C21" s="1224"/>
    </row>
    <row r="22" spans="1:3" x14ac:dyDescent="0.3">
      <c r="A22" s="1224"/>
      <c r="B22" s="1224"/>
      <c r="C22" s="1224"/>
    </row>
    <row r="23" spans="1:3" x14ac:dyDescent="0.3">
      <c r="A23" s="1224"/>
      <c r="B23" s="1224"/>
      <c r="C23" s="1224"/>
    </row>
  </sheetData>
  <mergeCells count="1">
    <mergeCell ref="A3:B3"/>
  </mergeCells>
  <conditionalFormatting sqref="B5">
    <cfRule type="containsText" dxfId="11" priority="13" operator="containsText" text="I do not Accept">
      <formula>NOT(ISERROR(SEARCH("I do not Accept",B5)))</formula>
    </cfRule>
    <cfRule type="containsText" dxfId="10" priority="14" operator="containsText" text="I Accept">
      <formula>NOT(ISERROR(SEARCH("I Accept",B5)))</formula>
    </cfRule>
  </conditionalFormatting>
  <conditionalFormatting sqref="B6">
    <cfRule type="containsText" dxfId="9" priority="11" operator="containsText" text="I do not Accept">
      <formula>NOT(ISERROR(SEARCH("I do not Accept",B6)))</formula>
    </cfRule>
    <cfRule type="containsText" dxfId="8" priority="12" operator="containsText" text="I Accept">
      <formula>NOT(ISERROR(SEARCH("I Accept",B6)))</formula>
    </cfRule>
  </conditionalFormatting>
  <conditionalFormatting sqref="B7">
    <cfRule type="containsText" dxfId="7" priority="7" operator="containsText" text="I do not Accept">
      <formula>NOT(ISERROR(SEARCH("I do not Accept",B7)))</formula>
    </cfRule>
    <cfRule type="containsText" dxfId="6" priority="8" operator="containsText" text="I Accept">
      <formula>NOT(ISERROR(SEARCH("I Accept",B7)))</formula>
    </cfRule>
  </conditionalFormatting>
  <conditionalFormatting sqref="B8">
    <cfRule type="containsText" dxfId="5" priority="5" operator="containsText" text="I do not Accept">
      <formula>NOT(ISERROR(SEARCH("I do not Accept",B8)))</formula>
    </cfRule>
    <cfRule type="containsText" dxfId="4" priority="6" operator="containsText" text="I Accept">
      <formula>NOT(ISERROR(SEARCH("I Accept",B8)))</formula>
    </cfRule>
  </conditionalFormatting>
  <conditionalFormatting sqref="B9:B10 B12">
    <cfRule type="containsText" dxfId="3" priority="3" operator="containsText" text="I do not Accept">
      <formula>NOT(ISERROR(SEARCH("I do not Accept",B9)))</formula>
    </cfRule>
    <cfRule type="containsText" dxfId="2" priority="4" operator="containsText" text="I Accept">
      <formula>NOT(ISERROR(SEARCH("I Accept",B9)))</formula>
    </cfRule>
  </conditionalFormatting>
  <conditionalFormatting sqref="B11">
    <cfRule type="containsText" dxfId="1" priority="1" operator="containsText" text="I do not Accept">
      <formula>NOT(ISERROR(SEARCH("I do not Accept",B11)))</formula>
    </cfRule>
    <cfRule type="containsText" dxfId="0" priority="2" operator="containsText" text="I Accept">
      <formula>NOT(ISERROR(SEARCH("I Accept",B11)))</formula>
    </cfRule>
  </conditionalFormatting>
  <dataValidations count="1">
    <dataValidation type="list" allowBlank="1" showInputMessage="1" showErrorMessage="1" sqref="B5:B12" xr:uid="{00000000-0002-0000-0A00-000000000000}">
      <formula1>"I Accept, I do not Accept"</formula1>
    </dataValidation>
  </dataValidations>
  <pageMargins left="0.7" right="0.7" top="0.75" bottom="0.75" header="0.3" footer="0.3"/>
  <pageSetup paperSize="9" scale="7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B40"/>
  <sheetViews>
    <sheetView showGridLines="0" view="pageBreakPreview" topLeftCell="A10" zoomScaleNormal="115" zoomScaleSheetLayoutView="100" zoomScalePageLayoutView="60" workbookViewId="0">
      <selection activeCell="B8" sqref="B8"/>
    </sheetView>
  </sheetViews>
  <sheetFormatPr defaultColWidth="9" defaultRowHeight="13" x14ac:dyDescent="0.3"/>
  <cols>
    <col min="1" max="1" width="5.58203125" style="1189" customWidth="1"/>
    <col min="2" max="2" width="48.08203125" style="1131" customWidth="1"/>
    <col min="3" max="3" width="6.1640625" style="554" customWidth="1"/>
    <col min="4" max="4" width="6.6640625" style="1116" bestFit="1" customWidth="1"/>
    <col min="5" max="5" width="8.1640625" style="554" customWidth="1"/>
    <col min="6" max="6" width="9.33203125" style="554" customWidth="1"/>
    <col min="7" max="7" width="8.5" style="554" hidden="1" customWidth="1"/>
    <col min="8" max="8" width="10.33203125" style="1200" hidden="1" customWidth="1"/>
    <col min="9" max="9" width="10.33203125" style="554" hidden="1" customWidth="1"/>
    <col min="10" max="10" width="42.6640625" style="554" customWidth="1"/>
    <col min="11" max="11" width="7.33203125" style="1117" customWidth="1"/>
    <col min="12" max="12" width="8.1640625" style="1117" bestFit="1" customWidth="1"/>
    <col min="13" max="13" width="8.83203125" style="1117" customWidth="1"/>
    <col min="14" max="14" width="8.1640625" style="1116" bestFit="1" customWidth="1"/>
    <col min="15" max="15" width="8" style="1116" bestFit="1" customWidth="1"/>
    <col min="16" max="16" width="8.5" style="1116" bestFit="1" customWidth="1"/>
    <col min="17" max="17" width="7.6640625" style="1116" customWidth="1"/>
    <col min="18" max="18" width="9.1640625" style="1116" customWidth="1"/>
    <col min="19" max="19" width="9.58203125" style="1116" customWidth="1"/>
    <col min="20" max="20" width="9" style="1116"/>
    <col min="21" max="16384" width="9" style="554"/>
  </cols>
  <sheetData>
    <row r="1" spans="1:28" s="1108" customFormat="1" ht="17.5" x14ac:dyDescent="0.3">
      <c r="A1" s="1205" t="s">
        <v>813</v>
      </c>
      <c r="B1" s="1099"/>
      <c r="C1" s="1106"/>
      <c r="D1" s="1107"/>
      <c r="G1" s="1109"/>
      <c r="H1" s="1110"/>
      <c r="K1" s="1111"/>
      <c r="L1" s="1314"/>
      <c r="M1" s="1112"/>
      <c r="N1" s="1314"/>
      <c r="O1" s="1314"/>
      <c r="P1" s="1314"/>
      <c r="Q1" s="1314"/>
      <c r="R1" s="1314"/>
      <c r="S1" s="1107"/>
      <c r="T1" s="1107"/>
    </row>
    <row r="2" spans="1:28" s="1100" customFormat="1" ht="15.5" x14ac:dyDescent="0.3">
      <c r="A2" s="1104" t="s">
        <v>777</v>
      </c>
      <c r="B2" s="1102"/>
      <c r="C2" s="1102"/>
      <c r="H2" s="1113"/>
      <c r="J2" s="1209"/>
      <c r="K2" s="1104"/>
      <c r="L2" s="1314"/>
      <c r="M2" s="1112"/>
      <c r="N2" s="1314"/>
      <c r="O2" s="1314"/>
      <c r="P2" s="1314"/>
      <c r="Q2" s="1314"/>
      <c r="R2" s="1314"/>
      <c r="S2" s="1101"/>
      <c r="T2" s="1101"/>
    </row>
    <row r="3" spans="1:28" s="1100" customFormat="1" ht="40.25" customHeight="1" x14ac:dyDescent="0.3">
      <c r="A3" s="1313" t="s">
        <v>812</v>
      </c>
      <c r="B3" s="1313"/>
      <c r="C3" s="1102"/>
      <c r="H3" s="1113"/>
      <c r="J3" s="1209"/>
      <c r="K3" s="1104"/>
      <c r="L3" s="1314"/>
      <c r="M3" s="1112"/>
      <c r="N3" s="1314"/>
      <c r="O3" s="1314"/>
      <c r="P3" s="1314"/>
      <c r="Q3" s="1314"/>
      <c r="R3" s="1314"/>
      <c r="S3" s="1101"/>
      <c r="T3" s="1101"/>
    </row>
    <row r="4" spans="1:28" x14ac:dyDescent="0.3">
      <c r="A4" s="1315" t="s">
        <v>154</v>
      </c>
      <c r="B4" s="1119" t="s">
        <v>160</v>
      </c>
      <c r="C4" s="1318"/>
      <c r="D4" s="1318"/>
      <c r="E4" s="1318"/>
      <c r="F4" s="1318"/>
      <c r="G4" s="1318"/>
      <c r="H4" s="1318"/>
      <c r="I4" s="1319"/>
      <c r="J4" s="1120" t="s">
        <v>398</v>
      </c>
      <c r="K4" s="998"/>
      <c r="L4" s="1314"/>
      <c r="M4" s="1118"/>
      <c r="N4" s="1314"/>
      <c r="O4" s="1314"/>
      <c r="P4" s="1314"/>
      <c r="Q4" s="1314"/>
      <c r="R4" s="1314"/>
    </row>
    <row r="5" spans="1:28" x14ac:dyDescent="0.3">
      <c r="A5" s="1316"/>
      <c r="B5" s="1121"/>
      <c r="C5" s="1320"/>
      <c r="D5" s="1320"/>
      <c r="E5" s="1320"/>
      <c r="F5" s="1321"/>
      <c r="G5" s="1321"/>
      <c r="H5" s="1122" t="s">
        <v>401</v>
      </c>
      <c r="I5" s="1123" t="s">
        <v>402</v>
      </c>
      <c r="J5" s="1124"/>
      <c r="K5" s="998"/>
      <c r="L5" s="1314"/>
      <c r="M5" s="1118"/>
      <c r="N5" s="1314"/>
      <c r="O5" s="1314"/>
      <c r="P5" s="1314"/>
      <c r="Q5" s="1314"/>
      <c r="R5" s="1314"/>
    </row>
    <row r="6" spans="1:28" x14ac:dyDescent="0.3">
      <c r="A6" s="1317"/>
      <c r="B6" s="1125"/>
      <c r="C6" s="1126" t="s">
        <v>151</v>
      </c>
      <c r="D6" s="1127" t="s">
        <v>152</v>
      </c>
      <c r="E6" s="1127" t="s">
        <v>403</v>
      </c>
      <c r="F6" s="1127" t="s">
        <v>778</v>
      </c>
      <c r="G6" s="1127" t="s">
        <v>103</v>
      </c>
      <c r="H6" s="1128" t="s">
        <v>44</v>
      </c>
      <c r="I6" s="1127" t="s">
        <v>44</v>
      </c>
      <c r="J6" s="1129"/>
      <c r="K6" s="1105"/>
      <c r="L6" s="1314"/>
      <c r="M6" s="1118"/>
      <c r="N6" s="1314"/>
      <c r="O6" s="1314"/>
      <c r="P6" s="1314"/>
      <c r="Q6" s="1314"/>
      <c r="R6" s="1314"/>
    </row>
    <row r="7" spans="1:28" x14ac:dyDescent="0.3">
      <c r="A7" s="1130"/>
      <c r="B7" s="1151"/>
      <c r="C7" s="1136"/>
      <c r="D7" s="1160"/>
      <c r="E7" s="1136"/>
      <c r="F7" s="1147"/>
      <c r="G7" s="1148"/>
      <c r="H7" s="1137"/>
      <c r="I7" s="1139"/>
      <c r="J7" s="1162"/>
      <c r="K7" s="998"/>
      <c r="L7" s="1314"/>
      <c r="M7" s="1118"/>
      <c r="N7" s="1314"/>
      <c r="O7" s="1314"/>
      <c r="P7" s="1314"/>
      <c r="Q7" s="1314"/>
      <c r="R7" s="1314"/>
    </row>
    <row r="8" spans="1:28" ht="122.4" customHeight="1" x14ac:dyDescent="0.3">
      <c r="A8" s="1130"/>
      <c r="B8" s="1210" t="s">
        <v>810</v>
      </c>
      <c r="C8" s="1136"/>
      <c r="D8" s="1160"/>
      <c r="E8" s="1136"/>
      <c r="F8" s="1253"/>
      <c r="G8" s="1148"/>
      <c r="H8" s="1137"/>
      <c r="I8" s="1139"/>
      <c r="J8" s="1162"/>
      <c r="K8" s="1141"/>
      <c r="L8" s="1142"/>
      <c r="M8" s="1143"/>
      <c r="N8" s="1144"/>
      <c r="O8" s="1144"/>
      <c r="P8" s="1144"/>
      <c r="Q8" s="1144"/>
    </row>
    <row r="9" spans="1:28" x14ac:dyDescent="0.3">
      <c r="A9" s="1206"/>
      <c r="B9" s="1150"/>
      <c r="C9" s="1145"/>
      <c r="D9" s="1146"/>
      <c r="E9" s="1136"/>
      <c r="F9" s="1253"/>
      <c r="G9" s="1148"/>
      <c r="H9" s="1137"/>
      <c r="I9" s="1139"/>
      <c r="J9" s="1140"/>
      <c r="K9" s="1098"/>
      <c r="L9" s="1142"/>
      <c r="M9" s="1142"/>
      <c r="N9" s="1144"/>
      <c r="O9" s="1144"/>
      <c r="P9" s="1144"/>
      <c r="Q9" s="1149"/>
    </row>
    <row r="10" spans="1:28" x14ac:dyDescent="0.3">
      <c r="A10" s="1132">
        <v>1</v>
      </c>
      <c r="B10" s="1133" t="s">
        <v>780</v>
      </c>
      <c r="C10" s="1134"/>
      <c r="D10" s="1135"/>
      <c r="E10" s="1136"/>
      <c r="F10" s="1254"/>
      <c r="G10" s="1138" t="str">
        <f t="shared" ref="G10:G11" si="0">IF(F10="","",F10/$F$5)</f>
        <v/>
      </c>
      <c r="H10" s="1137">
        <f>982*20</f>
        <v>19640</v>
      </c>
      <c r="I10" s="1139">
        <f>F10-H10</f>
        <v>-19640</v>
      </c>
      <c r="J10" s="1140"/>
      <c r="K10" s="1098"/>
    </row>
    <row r="11" spans="1:28" x14ac:dyDescent="0.3">
      <c r="A11" s="1206">
        <v>1.1000000000000001</v>
      </c>
      <c r="B11" s="1151"/>
      <c r="C11" s="1136"/>
      <c r="D11" s="1160"/>
      <c r="E11" s="1155"/>
      <c r="F11" s="1253"/>
      <c r="G11" s="1148" t="str">
        <f t="shared" si="0"/>
        <v/>
      </c>
      <c r="H11" s="1137"/>
      <c r="I11" s="1139"/>
      <c r="J11" s="1162"/>
      <c r="K11" s="1098"/>
    </row>
    <row r="12" spans="1:28" x14ac:dyDescent="0.3">
      <c r="A12" s="1130"/>
      <c r="B12" s="1151"/>
      <c r="C12" s="1136"/>
      <c r="D12" s="1156"/>
      <c r="E12" s="1155"/>
      <c r="F12" s="1253"/>
      <c r="G12" s="1157"/>
      <c r="H12" s="1152"/>
      <c r="I12" s="1153"/>
      <c r="J12" s="1140"/>
      <c r="K12" s="1114"/>
      <c r="L12" s="1159"/>
      <c r="M12" s="1159"/>
      <c r="N12" s="1144"/>
      <c r="O12" s="1144"/>
      <c r="P12" s="1144"/>
      <c r="Q12" s="1144"/>
    </row>
    <row r="13" spans="1:28" s="1116" customFormat="1" x14ac:dyDescent="0.3">
      <c r="A13" s="1132">
        <v>2</v>
      </c>
      <c r="B13" s="1158" t="s">
        <v>781</v>
      </c>
      <c r="C13" s="1136"/>
      <c r="D13" s="1146"/>
      <c r="E13" s="1155"/>
      <c r="F13" s="1254"/>
      <c r="G13" s="1138" t="str">
        <f>IF(F13="","",F13/$F$5)</f>
        <v/>
      </c>
      <c r="H13" s="1137">
        <f>982*18</f>
        <v>17676</v>
      </c>
      <c r="I13" s="1139">
        <f>F13-H13</f>
        <v>-17676</v>
      </c>
      <c r="J13" s="1140"/>
      <c r="K13" s="1114"/>
      <c r="L13" s="1117"/>
      <c r="M13" s="1117"/>
      <c r="U13" s="554"/>
      <c r="V13" s="554"/>
      <c r="W13" s="554"/>
      <c r="X13" s="554"/>
      <c r="Y13" s="554"/>
      <c r="Z13" s="554"/>
      <c r="AA13" s="554"/>
      <c r="AB13" s="554"/>
    </row>
    <row r="14" spans="1:28" s="1116" customFormat="1" x14ac:dyDescent="0.3">
      <c r="A14" s="1130">
        <v>2.1</v>
      </c>
      <c r="B14" s="1151"/>
      <c r="C14" s="1136"/>
      <c r="D14" s="1160"/>
      <c r="E14" s="1155"/>
      <c r="F14" s="1253"/>
      <c r="G14" s="1148" t="str">
        <f>IF(F14="","",F14/$F$5)</f>
        <v/>
      </c>
      <c r="H14" s="1161"/>
      <c r="I14" s="1139"/>
      <c r="J14" s="1162"/>
      <c r="K14" s="1114"/>
      <c r="L14" s="1159"/>
      <c r="M14" s="1159"/>
      <c r="N14" s="1144"/>
      <c r="O14" s="1144"/>
      <c r="P14" s="1144"/>
      <c r="Q14" s="1144"/>
      <c r="R14" s="1144"/>
      <c r="U14" s="554"/>
      <c r="V14" s="554"/>
      <c r="W14" s="554"/>
      <c r="X14" s="554"/>
      <c r="Y14" s="554"/>
      <c r="Z14" s="554"/>
      <c r="AA14" s="554"/>
      <c r="AB14" s="554"/>
    </row>
    <row r="15" spans="1:28" s="1116" customFormat="1" x14ac:dyDescent="0.3">
      <c r="A15" s="1130"/>
      <c r="B15" s="1163"/>
      <c r="C15" s="1136"/>
      <c r="D15" s="1146"/>
      <c r="E15" s="1155"/>
      <c r="F15" s="1253"/>
      <c r="G15" s="1157"/>
      <c r="H15" s="1152"/>
      <c r="I15" s="1153" t="str">
        <f>IF(H15="","",F15-H15)</f>
        <v/>
      </c>
      <c r="J15" s="1162"/>
      <c r="K15" s="1114"/>
      <c r="L15" s="1159"/>
      <c r="M15" s="1159"/>
      <c r="N15" s="1144"/>
      <c r="O15" s="1144"/>
      <c r="P15" s="1144"/>
      <c r="Q15" s="1144"/>
      <c r="U15" s="554"/>
      <c r="V15" s="554"/>
      <c r="W15" s="554"/>
      <c r="X15" s="554"/>
      <c r="Y15" s="554"/>
      <c r="Z15" s="554"/>
      <c r="AA15" s="554"/>
      <c r="AB15" s="554"/>
    </row>
    <row r="16" spans="1:28" s="1116" customFormat="1" x14ac:dyDescent="0.3">
      <c r="A16" s="1132">
        <v>3</v>
      </c>
      <c r="B16" s="1158" t="s">
        <v>782</v>
      </c>
      <c r="C16" s="1136"/>
      <c r="D16" s="1135"/>
      <c r="E16" s="1136"/>
      <c r="F16" s="1254"/>
      <c r="G16" s="1138" t="str">
        <f>IF(F16="","",F16/$F$5)</f>
        <v/>
      </c>
      <c r="H16" s="1137">
        <f>982*56</f>
        <v>54992</v>
      </c>
      <c r="I16" s="1139">
        <f>F16-H16</f>
        <v>-54992</v>
      </c>
      <c r="J16" s="1140"/>
      <c r="K16" s="1114"/>
      <c r="L16" s="1117"/>
      <c r="M16" s="1117"/>
      <c r="N16" s="1144"/>
      <c r="U16" s="554"/>
      <c r="V16" s="554"/>
      <c r="W16" s="554"/>
      <c r="X16" s="554"/>
      <c r="Y16" s="554"/>
      <c r="Z16" s="554"/>
      <c r="AA16" s="554"/>
      <c r="AB16" s="554"/>
    </row>
    <row r="17" spans="1:28" s="1116" customFormat="1" x14ac:dyDescent="0.3">
      <c r="A17" s="1130">
        <v>3.1</v>
      </c>
      <c r="B17" s="1151"/>
      <c r="C17" s="1136"/>
      <c r="D17" s="1160"/>
      <c r="E17" s="1155"/>
      <c r="F17" s="1253"/>
      <c r="G17" s="1148" t="str">
        <f>IF(F17="","",F17/$F$5)</f>
        <v/>
      </c>
      <c r="H17" s="1161"/>
      <c r="I17" s="1139"/>
      <c r="J17" s="1162"/>
      <c r="K17" s="1114"/>
      <c r="L17" s="1159"/>
      <c r="M17" s="1159"/>
      <c r="N17" s="1144"/>
      <c r="O17" s="1144"/>
      <c r="P17" s="1144"/>
      <c r="Q17" s="1144"/>
      <c r="R17" s="1144"/>
      <c r="U17" s="554"/>
      <c r="V17" s="554"/>
      <c r="W17" s="554"/>
      <c r="X17" s="554"/>
      <c r="Y17" s="554"/>
      <c r="Z17" s="554"/>
      <c r="AA17" s="554"/>
      <c r="AB17" s="554"/>
    </row>
    <row r="18" spans="1:28" s="1116" customFormat="1" x14ac:dyDescent="0.3">
      <c r="A18" s="1206"/>
      <c r="B18" s="1151"/>
      <c r="C18" s="1136"/>
      <c r="D18" s="1167"/>
      <c r="E18" s="1136"/>
      <c r="F18" s="1253"/>
      <c r="G18" s="1148"/>
      <c r="H18" s="1137"/>
      <c r="I18" s="1139"/>
      <c r="J18" s="1154"/>
      <c r="K18" s="1165"/>
      <c r="L18" s="1159"/>
      <c r="M18" s="1159"/>
      <c r="N18" s="1144"/>
      <c r="O18" s="1144"/>
      <c r="P18" s="1144"/>
      <c r="Q18" s="1144"/>
      <c r="U18" s="554"/>
      <c r="V18" s="554"/>
      <c r="W18" s="554"/>
      <c r="X18" s="554"/>
      <c r="Y18" s="554"/>
      <c r="Z18" s="554"/>
      <c r="AA18" s="554"/>
      <c r="AB18" s="554"/>
    </row>
    <row r="19" spans="1:28" s="1116" customFormat="1" x14ac:dyDescent="0.3">
      <c r="A19" s="1257">
        <v>4</v>
      </c>
      <c r="B19" s="1158" t="s">
        <v>783</v>
      </c>
      <c r="C19" s="1136"/>
      <c r="D19" s="1167"/>
      <c r="E19" s="1136"/>
      <c r="F19" s="1253"/>
      <c r="G19" s="1148"/>
      <c r="H19" s="1137"/>
      <c r="I19" s="1139"/>
      <c r="J19" s="1154"/>
      <c r="K19" s="1165"/>
      <c r="L19" s="1159"/>
      <c r="M19" s="1159"/>
      <c r="N19" s="1144"/>
      <c r="O19" s="1144"/>
      <c r="P19" s="1144"/>
      <c r="Q19" s="1144"/>
      <c r="U19" s="554"/>
      <c r="V19" s="554"/>
      <c r="W19" s="554"/>
      <c r="X19" s="554"/>
      <c r="Y19" s="554"/>
      <c r="Z19" s="554"/>
      <c r="AA19" s="554"/>
      <c r="AB19" s="554"/>
    </row>
    <row r="20" spans="1:28" s="1116" customFormat="1" x14ac:dyDescent="0.3">
      <c r="A20" s="1130">
        <v>4.0999999999999996</v>
      </c>
      <c r="B20" s="1151"/>
      <c r="C20" s="1136"/>
      <c r="D20" s="1160"/>
      <c r="E20" s="1155"/>
      <c r="F20" s="1253"/>
      <c r="G20" s="1148" t="str">
        <f>IF(F20="","",F20/$F$5)</f>
        <v/>
      </c>
      <c r="H20" s="1161"/>
      <c r="I20" s="1139"/>
      <c r="J20" s="1162"/>
      <c r="K20" s="1114"/>
      <c r="L20" s="1159"/>
      <c r="M20" s="1159"/>
      <c r="N20" s="1144"/>
      <c r="O20" s="1144"/>
      <c r="P20" s="1144"/>
      <c r="Q20" s="1144"/>
      <c r="R20" s="1144"/>
      <c r="U20" s="554"/>
      <c r="V20" s="554"/>
      <c r="W20" s="554"/>
      <c r="X20" s="554"/>
      <c r="Y20" s="554"/>
      <c r="Z20" s="554"/>
      <c r="AA20" s="554"/>
      <c r="AB20" s="554"/>
    </row>
    <row r="21" spans="1:28" s="1116" customFormat="1" x14ac:dyDescent="0.3">
      <c r="A21" s="1206"/>
      <c r="B21" s="1208"/>
      <c r="C21" s="1136"/>
      <c r="D21" s="1167"/>
      <c r="E21" s="1136"/>
      <c r="F21" s="1253"/>
      <c r="G21" s="1148"/>
      <c r="H21" s="1137"/>
      <c r="I21" s="1139"/>
      <c r="J21" s="1154"/>
      <c r="K21" s="1165"/>
      <c r="L21" s="1159"/>
      <c r="M21" s="1159"/>
      <c r="N21" s="1144"/>
      <c r="O21" s="1144"/>
      <c r="P21" s="1144"/>
      <c r="Q21" s="1144"/>
      <c r="U21" s="554"/>
      <c r="V21" s="554"/>
      <c r="W21" s="554"/>
      <c r="X21" s="554"/>
      <c r="Y21" s="554"/>
      <c r="Z21" s="554"/>
      <c r="AA21" s="554"/>
      <c r="AB21" s="554"/>
    </row>
    <row r="22" spans="1:28" s="1116" customFormat="1" x14ac:dyDescent="0.3">
      <c r="A22" s="1132">
        <v>5</v>
      </c>
      <c r="B22" s="1133" t="s">
        <v>784</v>
      </c>
      <c r="C22" s="1136"/>
      <c r="D22" s="1167"/>
      <c r="E22" s="1136"/>
      <c r="F22" s="1253"/>
      <c r="G22" s="1148"/>
      <c r="H22" s="1137"/>
      <c r="I22" s="1139"/>
      <c r="J22" s="1154"/>
      <c r="K22" s="1165"/>
      <c r="L22" s="1159"/>
      <c r="M22" s="1159"/>
      <c r="N22" s="1144"/>
      <c r="O22" s="1144"/>
      <c r="P22" s="1144"/>
      <c r="Q22" s="1144"/>
      <c r="U22" s="554"/>
      <c r="V22" s="554"/>
      <c r="W22" s="554"/>
      <c r="X22" s="554"/>
      <c r="Y22" s="554"/>
      <c r="Z22" s="554"/>
      <c r="AA22" s="554"/>
      <c r="AB22" s="554"/>
    </row>
    <row r="23" spans="1:28" s="1116" customFormat="1" x14ac:dyDescent="0.3">
      <c r="A23" s="1130">
        <v>5.0999999999999996</v>
      </c>
      <c r="B23" s="1151"/>
      <c r="C23" s="1136"/>
      <c r="D23" s="1160"/>
      <c r="E23" s="1155"/>
      <c r="F23" s="1253"/>
      <c r="G23" s="1148" t="str">
        <f>IF(F23="","",F23/$F$5)</f>
        <v/>
      </c>
      <c r="H23" s="1161"/>
      <c r="I23" s="1139"/>
      <c r="J23" s="1162"/>
      <c r="K23" s="1114"/>
      <c r="L23" s="1159"/>
      <c r="M23" s="1159"/>
      <c r="N23" s="1144"/>
      <c r="O23" s="1144"/>
      <c r="P23" s="1144"/>
      <c r="Q23" s="1144"/>
      <c r="R23" s="1144"/>
      <c r="U23" s="554"/>
      <c r="V23" s="554"/>
      <c r="W23" s="554"/>
      <c r="X23" s="554"/>
      <c r="Y23" s="554"/>
      <c r="Z23" s="554"/>
      <c r="AA23" s="554"/>
      <c r="AB23" s="554"/>
    </row>
    <row r="24" spans="1:28" s="1116" customFormat="1" x14ac:dyDescent="0.3">
      <c r="A24" s="1206"/>
      <c r="B24" s="1208"/>
      <c r="C24" s="1136"/>
      <c r="D24" s="1167"/>
      <c r="E24" s="1136"/>
      <c r="F24" s="1253"/>
      <c r="G24" s="1148"/>
      <c r="H24" s="1137"/>
      <c r="I24" s="1139"/>
      <c r="J24" s="1154"/>
      <c r="K24" s="1165"/>
      <c r="L24" s="1159"/>
      <c r="M24" s="1159"/>
      <c r="N24" s="1144"/>
      <c r="O24" s="1144"/>
      <c r="P24" s="1144"/>
      <c r="Q24" s="1144"/>
      <c r="U24" s="554"/>
      <c r="V24" s="554"/>
      <c r="W24" s="554"/>
      <c r="X24" s="554"/>
      <c r="Y24" s="554"/>
      <c r="Z24" s="554"/>
      <c r="AA24" s="554"/>
      <c r="AB24" s="554"/>
    </row>
    <row r="25" spans="1:28" s="1116" customFormat="1" x14ac:dyDescent="0.3">
      <c r="A25" s="1132">
        <v>6</v>
      </c>
      <c r="B25" s="1133" t="s">
        <v>785</v>
      </c>
      <c r="C25" s="1136"/>
      <c r="D25" s="1167"/>
      <c r="E25" s="1136"/>
      <c r="F25" s="1253"/>
      <c r="G25" s="1148"/>
      <c r="H25" s="1137"/>
      <c r="I25" s="1139"/>
      <c r="J25" s="1154"/>
      <c r="K25" s="1165"/>
      <c r="L25" s="1159"/>
      <c r="M25" s="1159"/>
      <c r="N25" s="1144"/>
      <c r="O25" s="1144"/>
      <c r="P25" s="1144"/>
      <c r="Q25" s="1144"/>
      <c r="U25" s="554"/>
      <c r="V25" s="554"/>
      <c r="W25" s="554"/>
      <c r="X25" s="554"/>
      <c r="Y25" s="554"/>
      <c r="Z25" s="554"/>
      <c r="AA25" s="554"/>
      <c r="AB25" s="554"/>
    </row>
    <row r="26" spans="1:28" s="1116" customFormat="1" x14ac:dyDescent="0.3">
      <c r="A26" s="1130">
        <v>6.1</v>
      </c>
      <c r="B26" s="1151"/>
      <c r="C26" s="1136"/>
      <c r="D26" s="1160"/>
      <c r="E26" s="1155"/>
      <c r="F26" s="1253"/>
      <c r="G26" s="1148" t="str">
        <f>IF(F26="","",F26/$F$5)</f>
        <v/>
      </c>
      <c r="H26" s="1161"/>
      <c r="I26" s="1139"/>
      <c r="J26" s="1162"/>
      <c r="K26" s="1114"/>
      <c r="L26" s="1159"/>
      <c r="M26" s="1159"/>
      <c r="N26" s="1144"/>
      <c r="O26" s="1144"/>
      <c r="P26" s="1144"/>
      <c r="Q26" s="1144"/>
      <c r="R26" s="1144"/>
      <c r="U26" s="554"/>
      <c r="V26" s="554"/>
      <c r="W26" s="554"/>
      <c r="X26" s="554"/>
      <c r="Y26" s="554"/>
      <c r="Z26" s="554"/>
      <c r="AA26" s="554"/>
      <c r="AB26" s="554"/>
    </row>
    <row r="27" spans="1:28" s="1116" customFormat="1" x14ac:dyDescent="0.3">
      <c r="A27" s="1206"/>
      <c r="B27" s="1208"/>
      <c r="C27" s="1136"/>
      <c r="D27" s="1167"/>
      <c r="E27" s="1136"/>
      <c r="F27" s="1253"/>
      <c r="G27" s="1148"/>
      <c r="H27" s="1137"/>
      <c r="I27" s="1139"/>
      <c r="J27" s="1154"/>
      <c r="K27" s="1165"/>
      <c r="L27" s="1159"/>
      <c r="M27" s="1159"/>
      <c r="N27" s="1144"/>
      <c r="O27" s="1144"/>
      <c r="P27" s="1144"/>
      <c r="Q27" s="1144"/>
      <c r="U27" s="554"/>
      <c r="V27" s="554"/>
      <c r="W27" s="554"/>
      <c r="X27" s="554"/>
      <c r="Y27" s="554"/>
      <c r="Z27" s="554"/>
      <c r="AA27" s="554"/>
      <c r="AB27" s="554"/>
    </row>
    <row r="28" spans="1:28" s="1116" customFormat="1" x14ac:dyDescent="0.3">
      <c r="A28" s="1132">
        <v>7</v>
      </c>
      <c r="B28" s="1164" t="s">
        <v>755</v>
      </c>
      <c r="C28" s="1136"/>
      <c r="D28" s="1167"/>
      <c r="E28" s="1136"/>
      <c r="F28" s="1254"/>
      <c r="G28" s="1138" t="str">
        <f t="shared" ref="G28:G29" si="1">IF(F28="","",F28/$F$5)</f>
        <v/>
      </c>
      <c r="H28" s="1137">
        <f>982*40</f>
        <v>39280</v>
      </c>
      <c r="I28" s="1139">
        <f>F28-H28</f>
        <v>-39280</v>
      </c>
      <c r="J28" s="1140"/>
      <c r="K28" s="1173"/>
      <c r="L28" s="1159"/>
      <c r="M28" s="1159"/>
      <c r="N28" s="1144"/>
      <c r="O28" s="1144"/>
      <c r="U28" s="554"/>
      <c r="V28" s="554"/>
      <c r="W28" s="554"/>
      <c r="X28" s="554"/>
      <c r="Y28" s="554"/>
      <c r="Z28" s="554"/>
      <c r="AA28" s="554"/>
      <c r="AB28" s="554"/>
    </row>
    <row r="29" spans="1:28" s="1116" customFormat="1" x14ac:dyDescent="0.3">
      <c r="A29" s="1207">
        <v>7.1</v>
      </c>
      <c r="B29" s="1151" t="s">
        <v>756</v>
      </c>
      <c r="C29" s="1136">
        <v>1</v>
      </c>
      <c r="D29" s="1166" t="s">
        <v>158</v>
      </c>
      <c r="E29" s="1136"/>
      <c r="F29" s="1253"/>
      <c r="G29" s="1148" t="str">
        <f t="shared" si="1"/>
        <v/>
      </c>
      <c r="H29" s="1152"/>
      <c r="I29" s="1153"/>
      <c r="J29" s="1154"/>
      <c r="K29" s="1173"/>
      <c r="L29" s="1117"/>
      <c r="M29" s="1117"/>
      <c r="N29" s="1144"/>
      <c r="U29" s="554"/>
      <c r="V29" s="554"/>
      <c r="W29" s="554"/>
      <c r="X29" s="554"/>
      <c r="Y29" s="554"/>
      <c r="Z29" s="554"/>
      <c r="AA29" s="554"/>
      <c r="AB29" s="554"/>
    </row>
    <row r="30" spans="1:28" s="1116" customFormat="1" x14ac:dyDescent="0.3">
      <c r="A30" s="1130"/>
      <c r="B30" s="1170"/>
      <c r="C30" s="1136"/>
      <c r="D30" s="1166"/>
      <c r="E30" s="1136"/>
      <c r="F30" s="1253"/>
      <c r="G30" s="1157"/>
      <c r="H30" s="1152"/>
      <c r="I30" s="1153"/>
      <c r="J30" s="1154"/>
      <c r="K30" s="1173"/>
      <c r="L30" s="1117"/>
      <c r="M30" s="1117"/>
      <c r="N30" s="1144"/>
      <c r="U30" s="554"/>
      <c r="V30" s="554"/>
      <c r="W30" s="554"/>
      <c r="X30" s="554"/>
      <c r="Y30" s="554"/>
      <c r="Z30" s="554"/>
      <c r="AA30" s="554"/>
      <c r="AB30" s="554"/>
    </row>
    <row r="31" spans="1:28" ht="12" customHeight="1" x14ac:dyDescent="0.3">
      <c r="A31" s="1130"/>
      <c r="B31" s="1175"/>
      <c r="C31" s="1168"/>
      <c r="D31" s="1176"/>
      <c r="E31" s="1168"/>
      <c r="F31" s="1255"/>
      <c r="G31" s="1171"/>
      <c r="H31" s="1171"/>
      <c r="I31" s="1172"/>
      <c r="J31" s="1169"/>
      <c r="K31" s="1114"/>
      <c r="N31" s="1144"/>
      <c r="R31" s="1174"/>
    </row>
    <row r="32" spans="1:28" x14ac:dyDescent="0.3">
      <c r="A32" s="1177"/>
      <c r="B32" s="1178" t="s">
        <v>447</v>
      </c>
      <c r="C32" s="1179"/>
      <c r="D32" s="1180"/>
      <c r="E32" s="1181"/>
      <c r="F32" s="1256"/>
      <c r="G32" s="1182" t="e">
        <f>F32/$F5</f>
        <v>#DIV/0!</v>
      </c>
      <c r="H32" s="1171" t="e">
        <f>#REF!+#REF!+#REF!+#REF!+#REF!+#REF!+#REF!+#REF!+#REF!+#REF!+#REF!+#REF!+H30+#REF!+#REF!+#REF!+#REF!+#REF!</f>
        <v>#REF!</v>
      </c>
      <c r="I32" s="1172" t="e">
        <f>#REF!+#REF!+#REF!+#REF!+#REF!+#REF!+#REF!+#REF!+#REF!+#REF!+#REF!+#REF!+I30+#REF!+#REF!+#REF!+#REF!+#REF!</f>
        <v>#REF!</v>
      </c>
      <c r="J32" s="1169"/>
      <c r="K32" s="1114"/>
      <c r="N32" s="1144"/>
      <c r="R32" s="1174"/>
    </row>
    <row r="33" spans="1:28" x14ac:dyDescent="0.3">
      <c r="A33" s="1183"/>
      <c r="B33" s="1184" t="s">
        <v>443</v>
      </c>
      <c r="C33" s="1179"/>
      <c r="D33" s="1180"/>
      <c r="E33" s="1181"/>
      <c r="F33" s="1256"/>
      <c r="G33" s="1185" t="e">
        <f>F33/$F5</f>
        <v>#DIV/0!</v>
      </c>
      <c r="H33" s="1186"/>
      <c r="I33" s="1187"/>
      <c r="J33" s="1188"/>
      <c r="K33" s="1114"/>
      <c r="N33" s="1144"/>
      <c r="O33" s="1144"/>
      <c r="R33" s="1174"/>
    </row>
    <row r="34" spans="1:28" s="1097" customFormat="1" x14ac:dyDescent="0.3">
      <c r="A34" s="1189"/>
      <c r="B34" s="1190"/>
      <c r="C34" s="1191"/>
      <c r="D34" s="1192"/>
      <c r="E34" s="1191"/>
      <c r="F34" s="1193"/>
      <c r="G34" s="1194"/>
      <c r="H34" s="1195"/>
      <c r="I34" s="1196"/>
      <c r="K34" s="1114"/>
      <c r="L34" s="1114"/>
      <c r="M34" s="1114"/>
      <c r="N34" s="1201"/>
      <c r="O34" s="1202"/>
      <c r="P34" s="1114"/>
      <c r="Q34" s="1201"/>
      <c r="R34" s="1201"/>
      <c r="S34" s="1201"/>
      <c r="T34" s="1201"/>
    </row>
    <row r="35" spans="1:28" s="1200" customFormat="1" x14ac:dyDescent="0.3">
      <c r="A35" s="1189"/>
      <c r="B35" s="1197"/>
      <c r="C35" s="1115"/>
      <c r="D35" s="1174"/>
      <c r="E35" s="1115"/>
      <c r="F35" s="861"/>
      <c r="G35" s="1198"/>
      <c r="H35" s="1199"/>
      <c r="I35" s="1198"/>
      <c r="J35" s="1115"/>
      <c r="K35" s="1117"/>
      <c r="L35" s="1117"/>
      <c r="M35" s="1117"/>
      <c r="N35" s="1116"/>
      <c r="O35" s="1116"/>
      <c r="P35" s="1116"/>
      <c r="Q35" s="1116"/>
      <c r="R35" s="1174"/>
      <c r="S35" s="1116"/>
      <c r="T35" s="1116"/>
      <c r="U35" s="554"/>
      <c r="V35" s="554"/>
      <c r="W35" s="554"/>
      <c r="X35" s="554"/>
      <c r="Y35" s="554"/>
      <c r="Z35" s="554"/>
      <c r="AA35" s="554"/>
      <c r="AB35" s="554"/>
    </row>
    <row r="36" spans="1:28" s="1200" customFormat="1" x14ac:dyDescent="0.3">
      <c r="A36" s="1103"/>
      <c r="B36" s="1131"/>
      <c r="C36" s="554"/>
      <c r="D36" s="1116"/>
      <c r="E36" s="554"/>
      <c r="F36" s="554"/>
      <c r="G36" s="554"/>
      <c r="I36" s="554"/>
      <c r="J36" s="554"/>
      <c r="K36" s="1117"/>
      <c r="L36" s="1117"/>
      <c r="M36" s="1117"/>
      <c r="N36" s="1116"/>
      <c r="O36" s="1116"/>
      <c r="P36" s="1116"/>
      <c r="Q36" s="1116"/>
      <c r="R36" s="1116"/>
      <c r="S36" s="1116"/>
      <c r="T36" s="1116"/>
      <c r="U36" s="554"/>
      <c r="V36" s="554"/>
      <c r="W36" s="554"/>
      <c r="X36" s="554"/>
      <c r="Y36" s="554"/>
      <c r="Z36" s="554"/>
      <c r="AA36" s="554"/>
      <c r="AB36" s="554"/>
    </row>
    <row r="37" spans="1:28" s="1200" customFormat="1" x14ac:dyDescent="0.3">
      <c r="A37" s="1203"/>
      <c r="B37" s="1131"/>
      <c r="C37" s="554"/>
      <c r="D37" s="1116"/>
      <c r="E37" s="554"/>
      <c r="F37" s="554"/>
      <c r="G37" s="554"/>
      <c r="I37" s="554"/>
      <c r="J37" s="554"/>
      <c r="K37" s="1117"/>
      <c r="L37" s="1117"/>
      <c r="M37" s="1117"/>
      <c r="N37" s="1116"/>
      <c r="O37" s="1116"/>
      <c r="P37" s="1116"/>
      <c r="Q37" s="1116"/>
      <c r="R37" s="1116"/>
      <c r="S37" s="1116"/>
      <c r="T37" s="1116"/>
      <c r="U37" s="554"/>
      <c r="V37" s="554"/>
      <c r="W37" s="554"/>
      <c r="X37" s="554"/>
      <c r="Y37" s="554"/>
      <c r="Z37" s="554"/>
      <c r="AA37" s="554"/>
      <c r="AB37" s="554"/>
    </row>
    <row r="38" spans="1:28" s="1200" customFormat="1" x14ac:dyDescent="0.3">
      <c r="A38" s="1203"/>
      <c r="B38" s="1131"/>
      <c r="C38" s="554"/>
      <c r="D38" s="1116"/>
      <c r="E38" s="554"/>
      <c r="F38" s="554"/>
      <c r="G38" s="1204"/>
      <c r="I38" s="554"/>
      <c r="J38" s="554"/>
      <c r="K38" s="1117"/>
      <c r="L38" s="1117"/>
      <c r="M38" s="1117"/>
      <c r="N38" s="1116"/>
      <c r="O38" s="1116"/>
      <c r="P38" s="1116"/>
      <c r="Q38" s="1116"/>
      <c r="R38" s="1116"/>
      <c r="S38" s="1116"/>
      <c r="T38" s="1116"/>
      <c r="U38" s="554"/>
      <c r="V38" s="554"/>
      <c r="W38" s="554"/>
      <c r="X38" s="554"/>
      <c r="Y38" s="554"/>
      <c r="Z38" s="554"/>
      <c r="AA38" s="554"/>
      <c r="AB38" s="554"/>
    </row>
    <row r="39" spans="1:28" x14ac:dyDescent="0.3">
      <c r="A39" s="1203"/>
      <c r="G39" s="1204"/>
    </row>
    <row r="40" spans="1:28" x14ac:dyDescent="0.3">
      <c r="A40" s="1203"/>
      <c r="G40" s="1204"/>
    </row>
  </sheetData>
  <sheetProtection selectLockedCells="1"/>
  <customSheetViews>
    <customSheetView guid="{2B0692CF-4177-422C-A620-ABA6158FDE4D}" showPageBreaks="1" showGridLines="0" printArea="1" hiddenRows="1" hiddenColumns="1" view="pageBreakPreview" topLeftCell="A58">
      <selection activeCell="J93" sqref="J93"/>
      <pageMargins left="0.47244094488188981" right="0.47244094488188981" top="0.39370078740157483" bottom="0.55118110236220474" header="0.19685039370078741" footer="0.15748031496062992"/>
      <pageSetup paperSize="9" firstPageNumber="8" fitToHeight="12" orientation="landscape" cellComments="asDisplayed" useFirstPageNumber="1" r:id="rId1"/>
      <headerFooter>
        <oddFooter>&amp;L&amp;8&amp;Z&amp;F&amp;R&amp;8Page &amp;P</oddFooter>
      </headerFooter>
    </customSheetView>
    <customSheetView guid="{6C33A4D3-AF33-443C-A522-C1A990C51A36}" showPageBreaks="1" showGridLines="0" printArea="1" hiddenRows="1" hiddenColumns="1" view="pageBreakPreview" topLeftCell="A61">
      <selection activeCell="C84" sqref="C84"/>
      <pageMargins left="0.47244094488188981" right="0.47244094488188981" top="0.39370078740157483" bottom="0.55118110236220474" header="0.19685039370078741" footer="0.15748031496062992"/>
      <pageSetup paperSize="9" firstPageNumber="8" fitToHeight="12" orientation="landscape" cellComments="asDisplayed" useFirstPageNumber="1" r:id="rId2"/>
      <headerFooter>
        <oddFooter>&amp;L&amp;8&amp;Z&amp;F&amp;R&amp;8Page &amp;P</oddFooter>
      </headerFooter>
    </customSheetView>
  </customSheetViews>
  <mergeCells count="11">
    <mergeCell ref="P1:P7"/>
    <mergeCell ref="Q1:Q7"/>
    <mergeCell ref="R1:R7"/>
    <mergeCell ref="A4:A6"/>
    <mergeCell ref="C4:I4"/>
    <mergeCell ref="C5:E5"/>
    <mergeCell ref="F5:G5"/>
    <mergeCell ref="L1:L7"/>
    <mergeCell ref="N1:N7"/>
    <mergeCell ref="O1:O7"/>
    <mergeCell ref="A3:B3"/>
  </mergeCells>
  <dataValidations disablePrompts="1" count="1">
    <dataValidation allowBlank="1" showErrorMessage="1" promptTitle="Cost Plan:" prompt="Enter the Cost Plan element or stage here ie Demolituion and Enabling Works; Category A Fit Out etc" sqref="B4" xr:uid="{00000000-0002-0000-0B00-000000000000}"/>
  </dataValidations>
  <pageMargins left="0.47244094488188981" right="0.47244094488188981" top="0.39370078740157483" bottom="0.55118110236220474" header="0.19685039370078741" footer="0.15748031496062992"/>
  <pageSetup paperSize="9" scale="67" firstPageNumber="8" fitToHeight="0" orientation="portrait" cellComments="asDisplayed" useFirstPageNumber="1" r:id="rId3"/>
  <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A1:Q28"/>
  <sheetViews>
    <sheetView showGridLines="0" view="pageBreakPreview" topLeftCell="A7" zoomScaleNormal="115" zoomScaleSheetLayoutView="100" zoomScalePageLayoutView="60" workbookViewId="0">
      <selection activeCell="H3" sqref="H3"/>
    </sheetView>
  </sheetViews>
  <sheetFormatPr defaultColWidth="9" defaultRowHeight="13" x14ac:dyDescent="0.3"/>
  <cols>
    <col min="1" max="1" width="12.83203125" style="1189" customWidth="1"/>
    <col min="2" max="2" width="44" style="1131" customWidth="1"/>
    <col min="3" max="3" width="11.6640625" style="1267" bestFit="1" customWidth="1"/>
    <col min="4" max="4" width="8.5" style="554" hidden="1" customWidth="1"/>
    <col min="5" max="5" width="10.33203125" style="1200" hidden="1" customWidth="1"/>
    <col min="6" max="6" width="10.33203125" style="554" hidden="1" customWidth="1"/>
    <col min="7" max="7" width="12.33203125" style="1216" customWidth="1"/>
    <col min="8" max="8" width="42.6640625" style="554" customWidth="1"/>
    <col min="9" max="9" width="9" style="1116"/>
    <col min="10" max="16384" width="9" style="554"/>
  </cols>
  <sheetData>
    <row r="1" spans="1:17" s="1108" customFormat="1" ht="17.5" x14ac:dyDescent="0.3">
      <c r="A1" s="1205" t="s">
        <v>813</v>
      </c>
      <c r="B1" s="1099"/>
      <c r="C1" s="1258"/>
      <c r="D1" s="1109"/>
      <c r="E1" s="1110"/>
      <c r="G1" s="1211"/>
      <c r="I1" s="1107"/>
    </row>
    <row r="2" spans="1:17" s="1100" customFormat="1" ht="15.5" x14ac:dyDescent="0.3">
      <c r="A2" s="1104" t="s">
        <v>779</v>
      </c>
      <c r="B2" s="1102"/>
      <c r="C2" s="1259"/>
      <c r="E2" s="1113"/>
      <c r="G2" s="1212"/>
      <c r="H2" s="1209"/>
      <c r="I2" s="1101"/>
    </row>
    <row r="3" spans="1:17" s="1100" customFormat="1" ht="40.25" customHeight="1" x14ac:dyDescent="0.3">
      <c r="A3" s="1313" t="s">
        <v>812</v>
      </c>
      <c r="B3" s="1313"/>
      <c r="C3" s="1259"/>
      <c r="E3" s="1113"/>
      <c r="G3" s="1212"/>
      <c r="H3" s="1209"/>
      <c r="I3" s="1101"/>
    </row>
    <row r="4" spans="1:17" ht="26" x14ac:dyDescent="0.3">
      <c r="A4" s="1217" t="s">
        <v>757</v>
      </c>
      <c r="B4" s="1119" t="s">
        <v>758</v>
      </c>
      <c r="C4" s="1322" t="s">
        <v>771</v>
      </c>
      <c r="D4" s="1322"/>
      <c r="E4" s="1218"/>
      <c r="F4" s="1219"/>
      <c r="G4" s="1227" t="s">
        <v>772</v>
      </c>
      <c r="H4" s="1120" t="s">
        <v>398</v>
      </c>
    </row>
    <row r="5" spans="1:17" x14ac:dyDescent="0.3">
      <c r="A5" s="1130"/>
      <c r="B5" s="1151"/>
      <c r="C5" s="1260"/>
      <c r="D5" s="1148"/>
      <c r="E5" s="1137"/>
      <c r="F5" s="1139"/>
      <c r="G5" s="1213"/>
      <c r="H5" s="1162"/>
    </row>
    <row r="6" spans="1:17" ht="104" x14ac:dyDescent="0.3">
      <c r="A6" s="1130" t="s">
        <v>82</v>
      </c>
      <c r="B6" s="1210" t="s">
        <v>759</v>
      </c>
      <c r="C6" s="1261"/>
      <c r="D6" s="1228"/>
      <c r="E6" s="1229"/>
      <c r="F6" s="1230"/>
      <c r="G6" s="1231"/>
      <c r="H6" s="1162"/>
    </row>
    <row r="7" spans="1:17" x14ac:dyDescent="0.3">
      <c r="A7" s="1206">
        <v>1</v>
      </c>
      <c r="B7" s="1150"/>
      <c r="C7" s="1261"/>
      <c r="D7" s="1228"/>
      <c r="E7" s="1229"/>
      <c r="F7" s="1230"/>
      <c r="G7" s="1270"/>
      <c r="H7" s="1268"/>
    </row>
    <row r="8" spans="1:17" x14ac:dyDescent="0.3">
      <c r="A8" s="1130">
        <v>2</v>
      </c>
      <c r="B8" s="1269"/>
      <c r="C8" s="1261"/>
      <c r="D8" s="1232"/>
      <c r="E8" s="1229"/>
      <c r="F8" s="1230"/>
      <c r="G8" s="1270"/>
      <c r="H8" s="1268"/>
    </row>
    <row r="9" spans="1:17" x14ac:dyDescent="0.3">
      <c r="A9" s="1206">
        <v>3</v>
      </c>
      <c r="B9" s="1151"/>
      <c r="C9" s="1261"/>
      <c r="D9" s="1228"/>
      <c r="E9" s="1229"/>
      <c r="F9" s="1230"/>
      <c r="G9" s="1270"/>
      <c r="H9" s="1268"/>
    </row>
    <row r="10" spans="1:17" x14ac:dyDescent="0.3">
      <c r="A10" s="1130">
        <v>4</v>
      </c>
      <c r="B10" s="1151"/>
      <c r="D10" s="1233"/>
      <c r="E10" s="1234"/>
      <c r="F10" s="1235"/>
      <c r="G10" s="1270"/>
      <c r="H10" s="1268"/>
    </row>
    <row r="11" spans="1:17" s="1116" customFormat="1" x14ac:dyDescent="0.3">
      <c r="A11" s="1130">
        <v>5</v>
      </c>
      <c r="B11" s="1151"/>
      <c r="C11" s="1261"/>
      <c r="D11" s="1232"/>
      <c r="E11" s="1229"/>
      <c r="F11" s="1230"/>
      <c r="G11" s="1270"/>
      <c r="H11" s="1268"/>
      <c r="J11" s="554"/>
      <c r="K11" s="554"/>
      <c r="L11" s="554"/>
      <c r="M11" s="554"/>
      <c r="N11" s="554"/>
      <c r="O11" s="554"/>
      <c r="P11" s="554"/>
      <c r="Q11" s="554"/>
    </row>
    <row r="12" spans="1:17" s="1116" customFormat="1" x14ac:dyDescent="0.3">
      <c r="A12" s="1130"/>
      <c r="B12" s="1151"/>
      <c r="C12" s="1261"/>
      <c r="D12" s="1228" t="str">
        <f>IF(C12="","",C12/$C$4)</f>
        <v/>
      </c>
      <c r="E12" s="1237"/>
      <c r="F12" s="1230"/>
      <c r="G12" s="1231"/>
      <c r="H12" s="1162"/>
      <c r="J12" s="554"/>
      <c r="K12" s="554"/>
      <c r="L12" s="554"/>
      <c r="M12" s="554"/>
      <c r="N12" s="554"/>
      <c r="O12" s="554"/>
      <c r="P12" s="554"/>
      <c r="Q12" s="554"/>
    </row>
    <row r="13" spans="1:17" s="1116" customFormat="1" x14ac:dyDescent="0.3">
      <c r="A13" s="1130"/>
      <c r="B13" s="1163"/>
      <c r="C13" s="1261"/>
      <c r="D13" s="1233"/>
      <c r="E13" s="1234"/>
      <c r="F13" s="1235" t="str">
        <f>IF(E13="","",C13-E13)</f>
        <v/>
      </c>
      <c r="G13" s="1236"/>
      <c r="H13" s="1162"/>
      <c r="J13" s="554"/>
      <c r="K13" s="554"/>
      <c r="L13" s="554"/>
      <c r="M13" s="554"/>
      <c r="N13" s="554"/>
      <c r="O13" s="554"/>
      <c r="P13" s="554"/>
      <c r="Q13" s="554"/>
    </row>
    <row r="14" spans="1:17" s="1116" customFormat="1" x14ac:dyDescent="0.3">
      <c r="A14" s="1130"/>
      <c r="B14" s="1158"/>
      <c r="C14" s="1262"/>
      <c r="D14" s="1232" t="str">
        <f>IF(C14="","",C14/$C$4)</f>
        <v/>
      </c>
      <c r="E14" s="1229">
        <f>982*56</f>
        <v>54992</v>
      </c>
      <c r="F14" s="1230">
        <f>C14-E14</f>
        <v>-54992</v>
      </c>
      <c r="G14" s="1231"/>
      <c r="H14" s="1140"/>
      <c r="J14" s="554"/>
      <c r="K14" s="554"/>
      <c r="L14" s="554"/>
      <c r="M14" s="554"/>
      <c r="N14" s="554"/>
      <c r="O14" s="554"/>
      <c r="P14" s="554"/>
      <c r="Q14" s="554"/>
    </row>
    <row r="15" spans="1:17" s="1116" customFormat="1" x14ac:dyDescent="0.3">
      <c r="A15" s="1130"/>
      <c r="B15" s="1151"/>
      <c r="C15" s="1261"/>
      <c r="D15" s="1228"/>
      <c r="E15" s="1229"/>
      <c r="F15" s="1230"/>
      <c r="G15" s="1231"/>
      <c r="H15" s="1154"/>
      <c r="J15" s="554"/>
      <c r="K15" s="554"/>
      <c r="L15" s="554"/>
      <c r="M15" s="554"/>
      <c r="N15" s="554"/>
      <c r="O15" s="554"/>
      <c r="P15" s="554"/>
      <c r="Q15" s="554"/>
    </row>
    <row r="16" spans="1:17" s="1116" customFormat="1" x14ac:dyDescent="0.3">
      <c r="A16" s="1130"/>
      <c r="B16" s="1208"/>
      <c r="C16" s="1261"/>
      <c r="D16" s="1228"/>
      <c r="E16" s="1229"/>
      <c r="F16" s="1230"/>
      <c r="G16" s="1231"/>
      <c r="H16" s="1154"/>
      <c r="J16" s="554"/>
      <c r="K16" s="554"/>
      <c r="L16" s="554"/>
      <c r="M16" s="554"/>
      <c r="N16" s="554"/>
      <c r="O16" s="554"/>
      <c r="P16" s="554"/>
      <c r="Q16" s="554"/>
    </row>
    <row r="17" spans="1:17" s="1116" customFormat="1" x14ac:dyDescent="0.3">
      <c r="A17" s="1130"/>
      <c r="B17" s="1151"/>
      <c r="C17" s="1261"/>
      <c r="D17" s="1228"/>
      <c r="E17" s="1229"/>
      <c r="F17" s="1230"/>
      <c r="G17" s="1231"/>
      <c r="H17" s="1154"/>
      <c r="J17" s="554"/>
      <c r="K17" s="554"/>
      <c r="L17" s="554"/>
      <c r="M17" s="554"/>
      <c r="N17" s="554"/>
      <c r="O17" s="554"/>
      <c r="P17" s="554"/>
      <c r="Q17" s="554"/>
    </row>
    <row r="18" spans="1:17" s="1116" customFormat="1" x14ac:dyDescent="0.3">
      <c r="A18" s="1130"/>
      <c r="B18" s="1151"/>
      <c r="C18" s="1261"/>
      <c r="D18" s="1228" t="str">
        <f>IF(C18="","",C18/$C$4)</f>
        <v/>
      </c>
      <c r="E18" s="1234"/>
      <c r="F18" s="1235"/>
      <c r="G18" s="1236"/>
      <c r="H18" s="1154"/>
      <c r="J18" s="554"/>
      <c r="K18" s="554"/>
      <c r="L18" s="554"/>
      <c r="M18" s="554"/>
      <c r="N18" s="554"/>
      <c r="O18" s="554"/>
      <c r="P18" s="554"/>
      <c r="Q18" s="554"/>
    </row>
    <row r="19" spans="1:17" s="1116" customFormat="1" x14ac:dyDescent="0.3">
      <c r="A19" s="1130"/>
      <c r="B19" s="1170"/>
      <c r="C19" s="1261"/>
      <c r="D19" s="1233"/>
      <c r="E19" s="1234"/>
      <c r="F19" s="1235"/>
      <c r="G19" s="1236"/>
      <c r="H19" s="1154"/>
      <c r="J19" s="554"/>
      <c r="K19" s="554"/>
      <c r="L19" s="554"/>
      <c r="M19" s="554"/>
      <c r="N19" s="554"/>
      <c r="O19" s="554"/>
      <c r="P19" s="554"/>
      <c r="Q19" s="554"/>
    </row>
    <row r="20" spans="1:17" ht="12" customHeight="1" x14ac:dyDescent="0.3">
      <c r="A20" s="1130"/>
      <c r="B20" s="1175"/>
      <c r="C20" s="1263"/>
      <c r="D20" s="1238"/>
      <c r="E20" s="1238"/>
      <c r="F20" s="1239"/>
      <c r="G20" s="1240"/>
      <c r="H20" s="1169"/>
    </row>
    <row r="21" spans="1:17" x14ac:dyDescent="0.3">
      <c r="A21" s="1220" t="s">
        <v>28</v>
      </c>
      <c r="B21" s="1184"/>
      <c r="C21" s="1264">
        <f>SUM(C7:C20)</f>
        <v>0</v>
      </c>
      <c r="D21" s="1241" t="e">
        <f>C21/$C4</f>
        <v>#VALUE!</v>
      </c>
      <c r="E21" s="1242" t="e">
        <f>#REF!+#REF!+#REF!+#REF!+#REF!+#REF!+#REF!+#REF!+#REF!+#REF!+#REF!+#REF!+E19+#REF!+#REF!+#REF!+#REF!+#REF!</f>
        <v>#REF!</v>
      </c>
      <c r="F21" s="1243" t="e">
        <f>#REF!+#REF!+#REF!+#REF!+#REF!+#REF!+#REF!+#REF!+#REF!+#REF!+#REF!+#REF!+F19+#REF!+#REF!+#REF!+#REF!+#REF!</f>
        <v>#REF!</v>
      </c>
      <c r="G21" s="1244"/>
      <c r="H21" s="1271">
        <f>SUM(H7:H11)</f>
        <v>0</v>
      </c>
    </row>
    <row r="22" spans="1:17" s="1097" customFormat="1" x14ac:dyDescent="0.3">
      <c r="A22" s="1189"/>
      <c r="B22" s="1190"/>
      <c r="C22" s="1265"/>
      <c r="D22" s="1194"/>
      <c r="E22" s="1195"/>
      <c r="F22" s="1196"/>
      <c r="G22" s="1214"/>
      <c r="I22" s="1201"/>
    </row>
    <row r="23" spans="1:17" s="1200" customFormat="1" x14ac:dyDescent="0.3">
      <c r="A23" s="1189"/>
      <c r="B23" s="1197"/>
      <c r="C23" s="1266"/>
      <c r="D23" s="1198"/>
      <c r="E23" s="1199"/>
      <c r="F23" s="1198"/>
      <c r="G23" s="1215"/>
      <c r="H23" s="1115"/>
      <c r="I23" s="1116"/>
      <c r="J23" s="554"/>
      <c r="K23" s="554"/>
      <c r="L23" s="554"/>
      <c r="M23" s="554"/>
      <c r="N23" s="554"/>
      <c r="O23" s="554"/>
      <c r="P23" s="554"/>
      <c r="Q23" s="554"/>
    </row>
    <row r="24" spans="1:17" s="1200" customFormat="1" x14ac:dyDescent="0.3">
      <c r="A24" s="1103"/>
      <c r="B24" s="1131"/>
      <c r="C24" s="1267"/>
      <c r="D24" s="554"/>
      <c r="F24" s="554"/>
      <c r="G24" s="1216"/>
      <c r="H24" s="554"/>
      <c r="I24" s="1116"/>
      <c r="J24" s="554"/>
      <c r="K24" s="554"/>
      <c r="L24" s="554"/>
      <c r="M24" s="554"/>
      <c r="N24" s="554"/>
      <c r="O24" s="554"/>
      <c r="P24" s="554"/>
      <c r="Q24" s="554"/>
    </row>
    <row r="25" spans="1:17" s="1200" customFormat="1" x14ac:dyDescent="0.3">
      <c r="A25" s="1203"/>
      <c r="B25" s="1131"/>
      <c r="C25" s="1267"/>
      <c r="D25" s="554"/>
      <c r="F25" s="554"/>
      <c r="G25" s="1216"/>
      <c r="H25" s="554"/>
      <c r="I25" s="1116"/>
      <c r="J25" s="554"/>
      <c r="K25" s="554"/>
      <c r="L25" s="554"/>
      <c r="M25" s="554"/>
      <c r="N25" s="554"/>
      <c r="O25" s="554"/>
      <c r="P25" s="554"/>
      <c r="Q25" s="554"/>
    </row>
    <row r="26" spans="1:17" s="1200" customFormat="1" x14ac:dyDescent="0.3">
      <c r="A26" s="1203"/>
      <c r="B26" s="1131"/>
      <c r="C26" s="1267"/>
      <c r="D26" s="1204"/>
      <c r="F26" s="554"/>
      <c r="G26" s="1216"/>
      <c r="H26" s="554"/>
      <c r="I26" s="1116"/>
      <c r="J26" s="554"/>
      <c r="K26" s="554"/>
      <c r="L26" s="554"/>
      <c r="M26" s="554"/>
      <c r="N26" s="554"/>
      <c r="O26" s="554"/>
      <c r="P26" s="554"/>
      <c r="Q26" s="554"/>
    </row>
    <row r="27" spans="1:17" x14ac:dyDescent="0.3">
      <c r="A27" s="1203"/>
      <c r="D27" s="1204"/>
    </row>
    <row r="28" spans="1:17" x14ac:dyDescent="0.3">
      <c r="A28" s="1203"/>
      <c r="D28" s="1204"/>
    </row>
  </sheetData>
  <sheetProtection selectLockedCells="1"/>
  <mergeCells count="2">
    <mergeCell ref="A3:B3"/>
    <mergeCell ref="C4:D4"/>
  </mergeCells>
  <dataValidations disablePrompts="1" count="1">
    <dataValidation allowBlank="1" showErrorMessage="1" promptTitle="Cost Plan:" prompt="Enter the Cost Plan element or stage here ie Demolituion and Enabling Works; Category A Fit Out etc" sqref="B4 G4" xr:uid="{00000000-0002-0000-0C00-000000000000}"/>
  </dataValidations>
  <pageMargins left="0.47244094488188981" right="0.47244094488188981" top="0.39370078740157483" bottom="0.55118110236220474" header="0.19685039370078741" footer="0.15748031496062992"/>
  <pageSetup paperSize="9" scale="69" firstPageNumber="8" fitToHeight="0" orientation="portrait" cellComments="asDisplayed" useFirstPageNumber="1"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AI222"/>
  <sheetViews>
    <sheetView showGridLines="0" view="pageBreakPreview" topLeftCell="A193" zoomScale="115" zoomScaleNormal="115" zoomScaleSheetLayoutView="115" workbookViewId="0">
      <selection activeCell="F214" sqref="F214"/>
    </sheetView>
  </sheetViews>
  <sheetFormatPr defaultColWidth="9" defaultRowHeight="12.75" customHeight="1" x14ac:dyDescent="0.3"/>
  <cols>
    <col min="1" max="1" width="5.5" style="791" customWidth="1"/>
    <col min="2" max="2" width="40.1640625" style="814" customWidth="1"/>
    <col min="3" max="3" width="7.08203125" style="800" customWidth="1"/>
    <col min="4" max="4" width="4.5" style="803" customWidth="1"/>
    <col min="5" max="5" width="8.1640625" style="800" customWidth="1"/>
    <col min="6" max="6" width="9.33203125" style="800" customWidth="1"/>
    <col min="7" max="7" width="8.5" style="800" customWidth="1"/>
    <col min="8" max="8" width="10.33203125" style="864" hidden="1" customWidth="1"/>
    <col min="9" max="9" width="10.33203125" style="800" hidden="1" customWidth="1"/>
    <col min="10" max="10" width="42.6640625" style="800" customWidth="1"/>
    <col min="11" max="11" width="6.83203125" style="803" customWidth="1"/>
    <col min="12" max="12" width="2.58203125" style="803" bestFit="1" customWidth="1"/>
    <col min="13" max="13" width="19.5" style="831" customWidth="1"/>
    <col min="14" max="14" width="11.83203125" style="803" customWidth="1"/>
    <col min="15" max="16" width="7.83203125" style="803" bestFit="1" customWidth="1"/>
    <col min="17" max="17" width="7.6640625" style="803" customWidth="1"/>
    <col min="18" max="18" width="9.1640625" style="803" customWidth="1"/>
    <col min="19" max="19" width="17.83203125" style="803" customWidth="1"/>
    <col min="20" max="20" width="13.6640625" style="800" customWidth="1"/>
    <col min="21" max="21" width="12.58203125" style="800" customWidth="1"/>
    <col min="22" max="16384" width="9" style="800"/>
  </cols>
  <sheetData>
    <row r="1" spans="1:19" ht="21" customHeight="1" x14ac:dyDescent="0.3">
      <c r="A1" s="787" t="e">
        <f>#REF!</f>
        <v>#REF!</v>
      </c>
      <c r="B1" s="479"/>
      <c r="C1" s="963"/>
      <c r="D1" s="799"/>
      <c r="E1" s="798"/>
      <c r="G1" s="801"/>
      <c r="H1" s="802"/>
      <c r="M1" s="1330"/>
      <c r="N1" s="1330"/>
      <c r="O1" s="1330"/>
      <c r="P1" s="1330"/>
      <c r="Q1" s="1330"/>
      <c r="R1" s="1330"/>
      <c r="S1" s="804"/>
    </row>
    <row r="2" spans="1:19" s="795" customFormat="1" ht="19" x14ac:dyDescent="0.3">
      <c r="A2" s="794" t="e">
        <f>#REF!</f>
        <v>#REF!</v>
      </c>
      <c r="B2" s="964"/>
      <c r="C2" s="333"/>
      <c r="H2" s="805"/>
      <c r="K2" s="797"/>
      <c r="L2" s="797"/>
      <c r="M2" s="1330"/>
      <c r="N2" s="1330"/>
      <c r="O2" s="1330"/>
      <c r="P2" s="1330"/>
      <c r="Q2" s="1330"/>
      <c r="R2" s="1330"/>
      <c r="S2" s="806"/>
    </row>
    <row r="3" spans="1:19" ht="12.75" customHeight="1" x14ac:dyDescent="0.3">
      <c r="A3" s="1323" t="s">
        <v>154</v>
      </c>
      <c r="B3" s="764" t="s">
        <v>160</v>
      </c>
      <c r="C3" s="1326" t="s">
        <v>567</v>
      </c>
      <c r="D3" s="1326"/>
      <c r="E3" s="1326"/>
      <c r="F3" s="1326"/>
      <c r="G3" s="1326"/>
      <c r="H3" s="1326"/>
      <c r="I3" s="1327"/>
      <c r="J3" s="868" t="s">
        <v>398</v>
      </c>
      <c r="K3" s="807"/>
      <c r="L3" s="807"/>
      <c r="M3" s="1330"/>
      <c r="N3" s="1330"/>
      <c r="O3" s="1330"/>
      <c r="P3" s="1330"/>
      <c r="Q3" s="1330"/>
      <c r="R3" s="1330"/>
      <c r="S3" s="804"/>
    </row>
    <row r="4" spans="1:19" ht="6" customHeight="1" x14ac:dyDescent="0.3">
      <c r="A4" s="1324"/>
      <c r="B4" s="765"/>
      <c r="C4" s="1326"/>
      <c r="D4" s="1326"/>
      <c r="E4" s="1326"/>
      <c r="F4" s="1326"/>
      <c r="G4" s="1326"/>
      <c r="H4" s="1326"/>
      <c r="I4" s="1327"/>
      <c r="J4" s="808"/>
      <c r="K4" s="797"/>
      <c r="L4" s="797"/>
      <c r="M4" s="1330"/>
      <c r="N4" s="1330"/>
      <c r="O4" s="1330"/>
      <c r="P4" s="1330"/>
      <c r="Q4" s="1330"/>
      <c r="R4" s="1330"/>
      <c r="S4" s="804"/>
    </row>
    <row r="5" spans="1:19" ht="14.25" customHeight="1" x14ac:dyDescent="0.3">
      <c r="A5" s="1324"/>
      <c r="B5" s="766"/>
      <c r="C5" s="1328" t="s">
        <v>613</v>
      </c>
      <c r="D5" s="1328"/>
      <c r="E5" s="1328"/>
      <c r="F5" s="990">
        <v>480</v>
      </c>
      <c r="G5" s="991">
        <v>480</v>
      </c>
      <c r="H5" s="809" t="s">
        <v>401</v>
      </c>
      <c r="I5" s="810" t="s">
        <v>402</v>
      </c>
      <c r="J5" s="808"/>
      <c r="K5" s="807"/>
      <c r="L5" s="807"/>
      <c r="M5" s="1330"/>
      <c r="N5" s="1330"/>
      <c r="O5" s="1330"/>
      <c r="P5" s="1330"/>
      <c r="Q5" s="1330"/>
      <c r="R5" s="1330"/>
      <c r="S5" s="804"/>
    </row>
    <row r="6" spans="1:19" ht="14.25" customHeight="1" x14ac:dyDescent="0.3">
      <c r="A6" s="1324"/>
      <c r="B6" s="766"/>
      <c r="C6" s="1328" t="s">
        <v>614</v>
      </c>
      <c r="D6" s="1328"/>
      <c r="E6" s="1328"/>
      <c r="F6" s="1329" t="e">
        <f>#REF!</f>
        <v>#REF!</v>
      </c>
      <c r="G6" s="1329"/>
      <c r="H6" s="809"/>
      <c r="I6" s="810"/>
      <c r="J6" s="808"/>
      <c r="K6" s="807"/>
      <c r="L6" s="807"/>
      <c r="M6" s="1330"/>
      <c r="N6" s="1330"/>
      <c r="O6" s="1330"/>
      <c r="P6" s="1330"/>
      <c r="Q6" s="1330"/>
      <c r="R6" s="1330"/>
      <c r="S6" s="804"/>
    </row>
    <row r="7" spans="1:19" ht="12.75" customHeight="1" x14ac:dyDescent="0.3">
      <c r="A7" s="1325"/>
      <c r="B7" s="767"/>
      <c r="C7" s="762" t="s">
        <v>151</v>
      </c>
      <c r="D7" s="811" t="s">
        <v>152</v>
      </c>
      <c r="E7" s="811" t="s">
        <v>403</v>
      </c>
      <c r="F7" s="811" t="s">
        <v>44</v>
      </c>
      <c r="G7" s="811" t="s">
        <v>103</v>
      </c>
      <c r="H7" s="812" t="s">
        <v>44</v>
      </c>
      <c r="I7" s="811" t="s">
        <v>44</v>
      </c>
      <c r="J7" s="813"/>
      <c r="K7" s="797"/>
      <c r="L7" s="797"/>
      <c r="M7" s="1330"/>
      <c r="N7" s="1330"/>
      <c r="O7" s="1330"/>
      <c r="P7" s="1330"/>
      <c r="Q7" s="1330"/>
      <c r="R7" s="1330"/>
      <c r="S7" s="804"/>
    </row>
    <row r="8" spans="1:19" ht="6.75" customHeight="1" x14ac:dyDescent="0.3">
      <c r="A8" s="784"/>
      <c r="B8" s="768"/>
      <c r="C8" s="814"/>
      <c r="D8" s="815"/>
      <c r="E8" s="816"/>
      <c r="F8" s="817"/>
      <c r="G8" s="818"/>
      <c r="H8" s="819"/>
      <c r="I8" s="820"/>
      <c r="J8" s="821"/>
      <c r="K8" s="807"/>
      <c r="L8" s="807"/>
      <c r="M8" s="1330"/>
      <c r="N8" s="1330"/>
      <c r="O8" s="1330"/>
      <c r="P8" s="1330"/>
      <c r="Q8" s="1330"/>
      <c r="R8" s="1330"/>
      <c r="S8" s="804"/>
    </row>
    <row r="9" spans="1:19" ht="12.75" customHeight="1" x14ac:dyDescent="0.3">
      <c r="A9" s="972"/>
      <c r="B9" s="973" t="s">
        <v>572</v>
      </c>
      <c r="C9" s="974"/>
      <c r="D9" s="974"/>
      <c r="E9" s="974"/>
      <c r="F9" s="975"/>
      <c r="G9" s="976"/>
      <c r="H9" s="977" t="str">
        <f>IF(G9="","",G9/#REF!)</f>
        <v/>
      </c>
      <c r="I9" s="978"/>
      <c r="J9" s="979"/>
      <c r="K9" s="826"/>
      <c r="L9" s="826"/>
    </row>
    <row r="10" spans="1:19" ht="12" x14ac:dyDescent="0.3">
      <c r="A10" s="784"/>
      <c r="B10" s="869"/>
      <c r="C10" s="682"/>
      <c r="D10" s="682"/>
      <c r="E10" s="682"/>
      <c r="F10" s="869"/>
      <c r="G10" s="869"/>
      <c r="H10" s="718"/>
      <c r="I10" s="820"/>
      <c r="J10" s="830"/>
      <c r="K10" s="826"/>
      <c r="L10" s="826"/>
    </row>
    <row r="11" spans="1:19" ht="11.5" x14ac:dyDescent="0.3">
      <c r="A11" s="783">
        <v>1</v>
      </c>
      <c r="B11" s="769" t="s">
        <v>557</v>
      </c>
      <c r="C11" s="827"/>
      <c r="D11" s="828"/>
      <c r="E11" s="829"/>
      <c r="F11" s="874" t="e">
        <f>ROUND(SUBTOTAL(9,F12:F15),-3)</f>
        <v>#REF!</v>
      </c>
      <c r="G11" s="875" t="e">
        <f>IF(F11="","",F11/$F$5)</f>
        <v>#REF!</v>
      </c>
      <c r="H11" s="874">
        <f>982*20</f>
        <v>19640</v>
      </c>
      <c r="I11" s="873" t="e">
        <f>F11-H11</f>
        <v>#REF!</v>
      </c>
      <c r="J11" s="830" t="s">
        <v>558</v>
      </c>
      <c r="K11" s="796"/>
      <c r="L11" s="796"/>
      <c r="M11" s="832"/>
      <c r="N11" s="833"/>
      <c r="O11" s="833"/>
      <c r="P11" s="833"/>
      <c r="Q11" s="833"/>
    </row>
    <row r="12" spans="1:19" ht="23" x14ac:dyDescent="0.3">
      <c r="A12" s="784">
        <v>1.1000000000000001</v>
      </c>
      <c r="B12" s="770" t="s">
        <v>619</v>
      </c>
      <c r="C12" s="822" t="e">
        <f>#REF!</f>
        <v>#REF!</v>
      </c>
      <c r="D12" s="823" t="s">
        <v>27</v>
      </c>
      <c r="E12" s="829">
        <v>70</v>
      </c>
      <c r="F12" s="870" t="e">
        <f>C12*E12</f>
        <v>#REF!</v>
      </c>
      <c r="G12" s="876" t="e">
        <f>IF(F12="","",F12/$F$5)</f>
        <v>#REF!</v>
      </c>
      <c r="H12" s="877"/>
      <c r="I12" s="878"/>
      <c r="J12" s="830"/>
      <c r="K12" s="796"/>
      <c r="L12" s="796"/>
      <c r="M12" s="879"/>
      <c r="N12" s="834"/>
      <c r="O12" s="834"/>
    </row>
    <row r="13" spans="1:19" ht="23" x14ac:dyDescent="0.3">
      <c r="A13" s="784">
        <v>1.2</v>
      </c>
      <c r="B13" s="770" t="s">
        <v>482</v>
      </c>
      <c r="C13" s="829">
        <f>18*3</f>
        <v>54</v>
      </c>
      <c r="D13" s="823" t="s">
        <v>27</v>
      </c>
      <c r="E13" s="829">
        <v>40</v>
      </c>
      <c r="F13" s="870">
        <f>C13*E13</f>
        <v>2160</v>
      </c>
      <c r="G13" s="876">
        <f>IF(F13="","",F13/$F$5)</f>
        <v>4.5</v>
      </c>
      <c r="H13" s="877"/>
      <c r="I13" s="878"/>
      <c r="J13" s="839" t="s">
        <v>577</v>
      </c>
      <c r="K13" s="796"/>
      <c r="L13" s="796"/>
      <c r="M13" s="960" t="s">
        <v>546</v>
      </c>
    </row>
    <row r="14" spans="1:19" ht="12" x14ac:dyDescent="0.3">
      <c r="A14" s="784">
        <v>1.3</v>
      </c>
      <c r="B14" s="770" t="s">
        <v>455</v>
      </c>
      <c r="C14" s="829">
        <v>1</v>
      </c>
      <c r="D14" s="823" t="s">
        <v>154</v>
      </c>
      <c r="E14" s="829">
        <v>10000</v>
      </c>
      <c r="F14" s="870">
        <f>C14*E14</f>
        <v>10000</v>
      </c>
      <c r="G14" s="876">
        <f>IF(F14="","",F14/$F$5)</f>
        <v>20.833333333333332</v>
      </c>
      <c r="H14" s="877"/>
      <c r="I14" s="878"/>
      <c r="J14" s="830" t="s">
        <v>620</v>
      </c>
      <c r="K14" s="796"/>
      <c r="L14" s="796"/>
      <c r="M14" s="835"/>
    </row>
    <row r="15" spans="1:19" ht="12" x14ac:dyDescent="0.3">
      <c r="A15" s="784">
        <v>1.4</v>
      </c>
      <c r="B15" s="770" t="s">
        <v>483</v>
      </c>
      <c r="C15" s="829">
        <v>1</v>
      </c>
      <c r="D15" s="823" t="s">
        <v>155</v>
      </c>
      <c r="E15" s="829">
        <v>850</v>
      </c>
      <c r="F15" s="870">
        <f>C15*E15</f>
        <v>850</v>
      </c>
      <c r="G15" s="876">
        <f>IF(F15="","",F15/$F$5)</f>
        <v>1.7708333333333333</v>
      </c>
      <c r="H15" s="877"/>
      <c r="I15" s="878"/>
      <c r="J15" s="830"/>
      <c r="K15" s="796"/>
      <c r="L15" s="796"/>
    </row>
    <row r="16" spans="1:19" ht="12" x14ac:dyDescent="0.3">
      <c r="A16" s="784"/>
      <c r="B16" s="869"/>
      <c r="C16" s="829"/>
      <c r="D16" s="880"/>
      <c r="E16" s="824"/>
      <c r="F16" s="870"/>
      <c r="G16" s="871"/>
      <c r="H16" s="877"/>
      <c r="I16" s="878"/>
      <c r="J16" s="830"/>
      <c r="K16" s="796"/>
      <c r="L16" s="796"/>
    </row>
    <row r="17" spans="1:35" ht="11.5" x14ac:dyDescent="0.3">
      <c r="A17" s="783">
        <v>2</v>
      </c>
      <c r="B17" s="771" t="s">
        <v>234</v>
      </c>
      <c r="C17" s="829"/>
      <c r="D17" s="823"/>
      <c r="E17" s="824"/>
      <c r="F17" s="874">
        <f>ROUND(SUBTOTAL(9,F18:F19),-3)</f>
        <v>3000</v>
      </c>
      <c r="G17" s="875">
        <f>IF(F17="","",F17/$F$5)</f>
        <v>6.25</v>
      </c>
      <c r="H17" s="874">
        <f>982*18</f>
        <v>17676</v>
      </c>
      <c r="I17" s="873">
        <f>F17-H17</f>
        <v>-14676</v>
      </c>
      <c r="J17" s="830" t="s">
        <v>558</v>
      </c>
      <c r="K17" s="836"/>
      <c r="L17" s="836"/>
      <c r="M17" s="837"/>
      <c r="N17" s="833"/>
      <c r="O17" s="833"/>
      <c r="P17" s="833"/>
      <c r="Q17" s="833"/>
    </row>
    <row r="18" spans="1:35" ht="12" x14ac:dyDescent="0.3">
      <c r="A18" s="784">
        <v>2.1</v>
      </c>
      <c r="B18" s="770" t="s">
        <v>538</v>
      </c>
      <c r="C18" s="829">
        <v>1</v>
      </c>
      <c r="D18" s="823" t="s">
        <v>158</v>
      </c>
      <c r="E18" s="824">
        <v>2500</v>
      </c>
      <c r="F18" s="870">
        <f>C18*E18</f>
        <v>2500</v>
      </c>
      <c r="G18" s="876">
        <f>IF(F18="","",F18/$F$5)</f>
        <v>5.208333333333333</v>
      </c>
      <c r="H18" s="872"/>
      <c r="I18" s="873"/>
      <c r="J18" s="825" t="s">
        <v>565</v>
      </c>
      <c r="K18" s="836"/>
      <c r="L18" s="836"/>
      <c r="M18" s="837" t="s">
        <v>539</v>
      </c>
      <c r="N18" s="833"/>
      <c r="O18" s="833"/>
      <c r="P18" s="833"/>
      <c r="Q18" s="833"/>
    </row>
    <row r="19" spans="1:35" ht="23" x14ac:dyDescent="0.3">
      <c r="A19" s="784">
        <v>2.2000000000000002</v>
      </c>
      <c r="B19" s="770" t="s">
        <v>186</v>
      </c>
      <c r="C19" s="829">
        <v>0</v>
      </c>
      <c r="D19" s="823" t="s">
        <v>158</v>
      </c>
      <c r="E19" s="824">
        <v>0</v>
      </c>
      <c r="F19" s="870">
        <v>0</v>
      </c>
      <c r="G19" s="876">
        <v>0</v>
      </c>
      <c r="H19" s="872"/>
      <c r="I19" s="873"/>
      <c r="J19" s="839" t="s">
        <v>570</v>
      </c>
      <c r="K19" s="836"/>
      <c r="L19" s="836"/>
      <c r="M19" s="837"/>
      <c r="N19" s="833"/>
      <c r="O19" s="833"/>
      <c r="P19" s="833"/>
      <c r="Q19" s="833"/>
    </row>
    <row r="20" spans="1:35" s="803" customFormat="1" ht="12" x14ac:dyDescent="0.3">
      <c r="A20" s="784"/>
      <c r="B20" s="772"/>
      <c r="C20" s="829"/>
      <c r="D20" s="823"/>
      <c r="E20" s="824"/>
      <c r="F20" s="870"/>
      <c r="G20" s="871"/>
      <c r="H20" s="877"/>
      <c r="I20" s="878" t="str">
        <f>IF(H20="","",F20-H20)</f>
        <v/>
      </c>
      <c r="J20" s="825"/>
      <c r="K20" s="836"/>
      <c r="L20" s="836"/>
      <c r="M20" s="831"/>
      <c r="T20" s="800"/>
      <c r="U20" s="800"/>
      <c r="V20" s="800"/>
      <c r="W20" s="800"/>
      <c r="X20" s="800"/>
      <c r="Y20" s="800"/>
      <c r="Z20" s="800"/>
      <c r="AA20" s="800"/>
      <c r="AB20" s="800"/>
      <c r="AC20" s="800"/>
      <c r="AD20" s="800"/>
      <c r="AE20" s="800"/>
      <c r="AF20" s="800"/>
      <c r="AG20" s="800"/>
      <c r="AH20" s="800"/>
      <c r="AI20" s="800"/>
    </row>
    <row r="21" spans="1:35" s="803" customFormat="1" ht="11.5" x14ac:dyDescent="0.3">
      <c r="A21" s="783">
        <v>3</v>
      </c>
      <c r="B21" s="769" t="s">
        <v>235</v>
      </c>
      <c r="C21" s="829"/>
      <c r="D21" s="828"/>
      <c r="E21" s="829"/>
      <c r="F21" s="874" t="e">
        <f>ROUND(SUBTOTAL(9,F22:F25),-3)</f>
        <v>#REF!</v>
      </c>
      <c r="G21" s="875" t="e">
        <f>IF(F21="","",F21/$F$5)</f>
        <v>#REF!</v>
      </c>
      <c r="H21" s="874">
        <f>982*56</f>
        <v>54992</v>
      </c>
      <c r="I21" s="873" t="e">
        <f>F21-H21</f>
        <v>#REF!</v>
      </c>
      <c r="J21" s="830" t="s">
        <v>558</v>
      </c>
      <c r="K21" s="836"/>
      <c r="L21" s="836"/>
      <c r="M21" s="837"/>
      <c r="N21" s="833"/>
      <c r="O21" s="833"/>
      <c r="P21" s="833"/>
      <c r="Q21" s="833"/>
      <c r="R21" s="833"/>
      <c r="T21" s="800"/>
      <c r="U21" s="800"/>
      <c r="V21" s="800"/>
      <c r="W21" s="800"/>
      <c r="X21" s="800"/>
      <c r="Y21" s="800"/>
      <c r="Z21" s="800"/>
      <c r="AA21" s="800"/>
      <c r="AB21" s="800"/>
      <c r="AC21" s="800"/>
      <c r="AD21" s="800"/>
      <c r="AE21" s="800"/>
      <c r="AF21" s="800"/>
      <c r="AG21" s="800"/>
      <c r="AH21" s="800"/>
      <c r="AI21" s="800"/>
    </row>
    <row r="22" spans="1:35" s="803" customFormat="1" ht="12" x14ac:dyDescent="0.3">
      <c r="A22" s="784">
        <v>3.1</v>
      </c>
      <c r="B22" s="770" t="s">
        <v>560</v>
      </c>
      <c r="C22" s="829" t="e">
        <f>ROUNDUP(#REF!*85/1000,0)</f>
        <v>#REF!</v>
      </c>
      <c r="D22" s="828" t="s">
        <v>193</v>
      </c>
      <c r="E22" s="829">
        <v>1950</v>
      </c>
      <c r="F22" s="870" t="e">
        <f>C22*E22</f>
        <v>#REF!</v>
      </c>
      <c r="G22" s="876" t="e">
        <f>IF(F22="","",F22/$F$5)</f>
        <v>#REF!</v>
      </c>
      <c r="H22" s="874"/>
      <c r="I22" s="873"/>
      <c r="J22" s="825"/>
      <c r="K22" s="836"/>
      <c r="L22" s="836"/>
      <c r="M22" s="837" t="s">
        <v>540</v>
      </c>
      <c r="N22" s="833"/>
      <c r="O22" s="833"/>
      <c r="P22" s="959" t="s">
        <v>543</v>
      </c>
      <c r="Q22" s="833"/>
      <c r="T22" s="800"/>
      <c r="U22" s="800"/>
      <c r="V22" s="800"/>
      <c r="W22" s="800"/>
      <c r="X22" s="800"/>
      <c r="Y22" s="800"/>
      <c r="Z22" s="800"/>
      <c r="AA22" s="800"/>
      <c r="AB22" s="800"/>
      <c r="AC22" s="800"/>
      <c r="AD22" s="800"/>
      <c r="AE22" s="800"/>
      <c r="AF22" s="800"/>
      <c r="AG22" s="800"/>
      <c r="AH22" s="800"/>
      <c r="AI22" s="800"/>
    </row>
    <row r="23" spans="1:35" s="803" customFormat="1" ht="12" x14ac:dyDescent="0.3">
      <c r="A23" s="784">
        <v>3.2</v>
      </c>
      <c r="B23" s="770" t="s">
        <v>246</v>
      </c>
      <c r="C23" s="838" t="e">
        <f>ROUND(C22*0.1,1)</f>
        <v>#REF!</v>
      </c>
      <c r="D23" s="828" t="s">
        <v>193</v>
      </c>
      <c r="E23" s="829">
        <v>1950</v>
      </c>
      <c r="F23" s="870" t="e">
        <f>C23*E23</f>
        <v>#REF!</v>
      </c>
      <c r="G23" s="876" t="e">
        <f>IF(F23="","",F23/$F$5)</f>
        <v>#REF!</v>
      </c>
      <c r="H23" s="874"/>
      <c r="I23" s="873"/>
      <c r="J23" s="825"/>
      <c r="K23" s="836"/>
      <c r="L23" s="836"/>
      <c r="M23" s="837" t="s">
        <v>540</v>
      </c>
      <c r="N23" s="833"/>
      <c r="O23" s="833"/>
      <c r="P23" s="833"/>
      <c r="Q23" s="833"/>
      <c r="T23" s="800"/>
      <c r="U23" s="800"/>
      <c r="V23" s="800"/>
      <c r="W23" s="800"/>
      <c r="X23" s="800"/>
      <c r="Y23" s="800"/>
      <c r="Z23" s="800"/>
      <c r="AA23" s="800"/>
      <c r="AB23" s="800"/>
      <c r="AC23" s="800"/>
      <c r="AD23" s="800"/>
      <c r="AE23" s="800"/>
      <c r="AF23" s="800"/>
      <c r="AG23" s="800"/>
      <c r="AH23" s="800"/>
      <c r="AI23" s="800"/>
    </row>
    <row r="24" spans="1:35" s="803" customFormat="1" ht="12" x14ac:dyDescent="0.3">
      <c r="A24" s="784">
        <v>3.3</v>
      </c>
      <c r="B24" s="770" t="s">
        <v>573</v>
      </c>
      <c r="C24" s="829">
        <v>1</v>
      </c>
      <c r="D24" s="828" t="s">
        <v>158</v>
      </c>
      <c r="E24" s="829">
        <v>5000</v>
      </c>
      <c r="F24" s="870">
        <f>C24*E24</f>
        <v>5000</v>
      </c>
      <c r="G24" s="876">
        <f>IF(F24="","",F24/$F$5)</f>
        <v>10.416666666666666</v>
      </c>
      <c r="H24" s="874"/>
      <c r="I24" s="873"/>
      <c r="J24" s="830" t="s">
        <v>620</v>
      </c>
      <c r="K24" s="836"/>
      <c r="L24" s="836"/>
      <c r="M24" s="837" t="s">
        <v>541</v>
      </c>
      <c r="N24" s="833"/>
      <c r="O24" s="833"/>
      <c r="P24" s="833"/>
      <c r="Q24" s="833"/>
      <c r="T24" s="800"/>
      <c r="U24" s="800"/>
      <c r="V24" s="800"/>
      <c r="W24" s="800"/>
      <c r="X24" s="800"/>
      <c r="Y24" s="800"/>
      <c r="Z24" s="800"/>
      <c r="AA24" s="800"/>
      <c r="AB24" s="800"/>
      <c r="AC24" s="800"/>
      <c r="AD24" s="800"/>
      <c r="AE24" s="800"/>
      <c r="AF24" s="800"/>
      <c r="AG24" s="800"/>
      <c r="AH24" s="800"/>
      <c r="AI24" s="800"/>
    </row>
    <row r="25" spans="1:35" s="803" customFormat="1" ht="12" x14ac:dyDescent="0.3">
      <c r="A25" s="784">
        <v>3.4</v>
      </c>
      <c r="B25" s="770" t="s">
        <v>456</v>
      </c>
      <c r="C25" s="829" t="e">
        <f>#REF!</f>
        <v>#REF!</v>
      </c>
      <c r="D25" s="840" t="s">
        <v>27</v>
      </c>
      <c r="E25" s="829">
        <v>60</v>
      </c>
      <c r="F25" s="870" t="e">
        <f>C25*E25</f>
        <v>#REF!</v>
      </c>
      <c r="G25" s="876" t="e">
        <f>IF(F25="","",F25/$F$5)</f>
        <v>#REF!</v>
      </c>
      <c r="H25" s="874"/>
      <c r="I25" s="873"/>
      <c r="J25" s="839"/>
      <c r="K25" s="836"/>
      <c r="L25" s="836"/>
      <c r="M25" s="837"/>
      <c r="N25" s="833"/>
      <c r="O25" s="833"/>
      <c r="P25" s="833"/>
      <c r="Q25" s="833"/>
      <c r="T25" s="800"/>
      <c r="U25" s="800"/>
      <c r="V25" s="800"/>
      <c r="W25" s="800"/>
      <c r="X25" s="800"/>
      <c r="Y25" s="800"/>
      <c r="Z25" s="800"/>
      <c r="AA25" s="800"/>
      <c r="AB25" s="800"/>
      <c r="AC25" s="800"/>
      <c r="AD25" s="800"/>
      <c r="AE25" s="800"/>
      <c r="AF25" s="800"/>
      <c r="AG25" s="800"/>
      <c r="AH25" s="800"/>
      <c r="AI25" s="800"/>
    </row>
    <row r="26" spans="1:35" s="803" customFormat="1" ht="12" x14ac:dyDescent="0.3">
      <c r="A26" s="784"/>
      <c r="B26" s="773"/>
      <c r="C26" s="829"/>
      <c r="D26" s="828"/>
      <c r="E26" s="829"/>
      <c r="F26" s="870"/>
      <c r="G26" s="871"/>
      <c r="H26" s="877"/>
      <c r="I26" s="878" t="str">
        <f>IF(H26="","",F26-H26)</f>
        <v/>
      </c>
      <c r="J26" s="825"/>
      <c r="K26" s="836"/>
      <c r="L26" s="836"/>
      <c r="M26" s="831"/>
      <c r="N26" s="833"/>
      <c r="T26" s="800"/>
      <c r="U26" s="800"/>
      <c r="V26" s="800"/>
      <c r="W26" s="800"/>
      <c r="X26" s="800"/>
      <c r="Y26" s="800"/>
      <c r="Z26" s="800"/>
      <c r="AA26" s="800"/>
      <c r="AB26" s="800"/>
      <c r="AC26" s="800"/>
      <c r="AD26" s="800"/>
      <c r="AE26" s="800"/>
      <c r="AF26" s="800"/>
      <c r="AG26" s="800"/>
      <c r="AH26" s="800"/>
      <c r="AI26" s="800"/>
    </row>
    <row r="27" spans="1:35" s="803" customFormat="1" ht="11.5" x14ac:dyDescent="0.3">
      <c r="A27" s="783">
        <v>4</v>
      </c>
      <c r="B27" s="774" t="s">
        <v>49</v>
      </c>
      <c r="C27" s="829"/>
      <c r="D27" s="840"/>
      <c r="E27" s="829"/>
      <c r="F27" s="874" t="e">
        <f>ROUND(SUBTOTAL(9,F28:F31),-3)</f>
        <v>#REF!</v>
      </c>
      <c r="G27" s="875" t="e">
        <f>IF(F27="","",F27/$F$5)</f>
        <v>#REF!</v>
      </c>
      <c r="H27" s="874">
        <f>982*50</f>
        <v>49100</v>
      </c>
      <c r="I27" s="873" t="e">
        <f>F27-H27</f>
        <v>#REF!</v>
      </c>
      <c r="J27" s="830" t="s">
        <v>558</v>
      </c>
      <c r="K27" s="841"/>
      <c r="L27" s="841"/>
      <c r="M27" s="837"/>
      <c r="N27" s="833"/>
      <c r="O27" s="833"/>
      <c r="P27" s="833"/>
      <c r="Q27" s="833"/>
      <c r="T27" s="800"/>
      <c r="U27" s="800"/>
      <c r="V27" s="800"/>
      <c r="W27" s="800"/>
      <c r="X27" s="800"/>
      <c r="Y27" s="800"/>
      <c r="Z27" s="800"/>
      <c r="AA27" s="800"/>
      <c r="AB27" s="800"/>
      <c r="AC27" s="800"/>
      <c r="AD27" s="800"/>
      <c r="AE27" s="800"/>
      <c r="AF27" s="800"/>
      <c r="AG27" s="800"/>
      <c r="AH27" s="800"/>
      <c r="AI27" s="800"/>
    </row>
    <row r="28" spans="1:35" s="803" customFormat="1" ht="23" x14ac:dyDescent="0.3">
      <c r="A28" s="784">
        <v>4.0999999999999996</v>
      </c>
      <c r="B28" s="770" t="s">
        <v>242</v>
      </c>
      <c r="C28" s="829" t="e">
        <f>C25</f>
        <v>#REF!</v>
      </c>
      <c r="D28" s="840" t="s">
        <v>27</v>
      </c>
      <c r="E28" s="829">
        <v>250</v>
      </c>
      <c r="F28" s="870" t="e">
        <f>C28*E28</f>
        <v>#REF!</v>
      </c>
      <c r="G28" s="876" t="e">
        <f>IF(F28="","",F28/$F$5)</f>
        <v>#REF!</v>
      </c>
      <c r="H28" s="874"/>
      <c r="I28" s="873"/>
      <c r="J28" s="825"/>
      <c r="K28" s="841"/>
      <c r="L28" s="841"/>
      <c r="M28" s="837"/>
      <c r="N28" s="833"/>
      <c r="O28" s="833"/>
      <c r="P28" s="833"/>
      <c r="Q28" s="833"/>
      <c r="T28" s="800"/>
      <c r="U28" s="800"/>
      <c r="V28" s="800"/>
      <c r="W28" s="800"/>
      <c r="X28" s="800"/>
      <c r="Y28" s="800"/>
      <c r="Z28" s="800"/>
      <c r="AA28" s="800"/>
      <c r="AB28" s="800"/>
      <c r="AC28" s="800"/>
      <c r="AD28" s="800"/>
      <c r="AE28" s="800"/>
      <c r="AF28" s="800"/>
      <c r="AG28" s="800"/>
      <c r="AH28" s="800"/>
      <c r="AI28" s="800"/>
    </row>
    <row r="29" spans="1:35" s="803" customFormat="1" ht="12" x14ac:dyDescent="0.3">
      <c r="A29" s="784">
        <v>4.2</v>
      </c>
      <c r="B29" s="770" t="s">
        <v>205</v>
      </c>
      <c r="C29" s="829">
        <v>90</v>
      </c>
      <c r="D29" s="840" t="s">
        <v>153</v>
      </c>
      <c r="E29" s="829">
        <v>120</v>
      </c>
      <c r="F29" s="870">
        <f>C29*E29</f>
        <v>10800</v>
      </c>
      <c r="G29" s="876">
        <f>IF(F29="","",F29/$F$5)</f>
        <v>22.5</v>
      </c>
      <c r="H29" s="874"/>
      <c r="I29" s="873"/>
      <c r="J29" s="825"/>
      <c r="K29" s="841"/>
      <c r="L29" s="841"/>
      <c r="M29" s="837"/>
      <c r="N29" s="833"/>
      <c r="O29" s="833"/>
      <c r="P29" s="833"/>
      <c r="Q29" s="833"/>
      <c r="T29" s="800"/>
      <c r="U29" s="800"/>
      <c r="V29" s="800"/>
      <c r="W29" s="800"/>
      <c r="X29" s="800"/>
      <c r="Y29" s="800"/>
      <c r="Z29" s="800"/>
      <c r="AA29" s="800"/>
      <c r="AB29" s="800"/>
      <c r="AC29" s="800"/>
      <c r="AD29" s="800"/>
      <c r="AE29" s="800"/>
      <c r="AF29" s="800"/>
      <c r="AG29" s="800"/>
      <c r="AH29" s="800"/>
      <c r="AI29" s="800"/>
    </row>
    <row r="30" spans="1:35" s="803" customFormat="1" ht="12" x14ac:dyDescent="0.3">
      <c r="A30" s="784">
        <v>4.3</v>
      </c>
      <c r="B30" s="770" t="s">
        <v>207</v>
      </c>
      <c r="C30" s="829">
        <v>18</v>
      </c>
      <c r="D30" s="840" t="s">
        <v>153</v>
      </c>
      <c r="E30" s="829">
        <v>150</v>
      </c>
      <c r="F30" s="870">
        <f>C30*E30</f>
        <v>2700</v>
      </c>
      <c r="G30" s="876">
        <f>IF(F30="","",F30/$F$5)</f>
        <v>5.625</v>
      </c>
      <c r="H30" s="874"/>
      <c r="I30" s="873"/>
      <c r="J30" s="825"/>
      <c r="K30" s="841"/>
      <c r="L30" s="841"/>
      <c r="M30" s="837"/>
      <c r="N30" s="833"/>
      <c r="O30" s="833"/>
      <c r="P30" s="833"/>
      <c r="Q30" s="833"/>
      <c r="T30" s="800"/>
      <c r="U30" s="800"/>
      <c r="V30" s="800"/>
      <c r="W30" s="800"/>
      <c r="X30" s="800"/>
      <c r="Y30" s="800"/>
      <c r="Z30" s="800"/>
      <c r="AA30" s="800"/>
      <c r="AB30" s="800"/>
      <c r="AC30" s="800"/>
      <c r="AD30" s="800"/>
      <c r="AE30" s="800"/>
      <c r="AF30" s="800"/>
      <c r="AG30" s="800"/>
      <c r="AH30" s="800"/>
      <c r="AI30" s="800"/>
    </row>
    <row r="31" spans="1:35" s="803" customFormat="1" ht="12" x14ac:dyDescent="0.3">
      <c r="A31" s="784">
        <v>4.4000000000000004</v>
      </c>
      <c r="B31" s="770" t="s">
        <v>621</v>
      </c>
      <c r="C31" s="829">
        <v>1</v>
      </c>
      <c r="D31" s="880" t="s">
        <v>158</v>
      </c>
      <c r="E31" s="881">
        <v>5000</v>
      </c>
      <c r="F31" s="870">
        <f>C31*E31</f>
        <v>5000</v>
      </c>
      <c r="G31" s="876">
        <f>IF(F31="","",F31/$F$5)</f>
        <v>10.416666666666666</v>
      </c>
      <c r="H31" s="877"/>
      <c r="I31" s="878"/>
      <c r="J31" s="825" t="s">
        <v>630</v>
      </c>
      <c r="K31" s="836"/>
      <c r="L31" s="836"/>
      <c r="M31" s="831"/>
      <c r="N31" s="833"/>
      <c r="T31" s="800"/>
      <c r="U31" s="800"/>
      <c r="V31" s="800"/>
      <c r="W31" s="800"/>
      <c r="X31" s="800"/>
      <c r="Y31" s="800"/>
      <c r="Z31" s="800"/>
      <c r="AA31" s="800"/>
      <c r="AB31" s="800"/>
      <c r="AC31" s="800"/>
      <c r="AD31" s="800"/>
      <c r="AE31" s="800"/>
      <c r="AF31" s="800"/>
      <c r="AG31" s="800"/>
      <c r="AH31" s="800"/>
      <c r="AI31" s="800"/>
    </row>
    <row r="32" spans="1:35" s="803" customFormat="1" ht="12" x14ac:dyDescent="0.3">
      <c r="A32" s="784"/>
      <c r="B32" s="869"/>
      <c r="C32" s="829"/>
      <c r="D32" s="823"/>
      <c r="E32" s="881"/>
      <c r="F32" s="870"/>
      <c r="G32" s="871"/>
      <c r="H32" s="877"/>
      <c r="I32" s="878"/>
      <c r="J32" s="825"/>
      <c r="K32" s="836"/>
      <c r="L32" s="836"/>
      <c r="M32" s="831"/>
      <c r="N32" s="833"/>
      <c r="T32" s="800"/>
      <c r="U32" s="800"/>
      <c r="V32" s="800"/>
      <c r="W32" s="800"/>
      <c r="X32" s="800"/>
      <c r="Y32" s="800"/>
      <c r="Z32" s="800"/>
      <c r="AA32" s="800"/>
      <c r="AB32" s="800"/>
      <c r="AC32" s="800"/>
      <c r="AD32" s="800"/>
      <c r="AE32" s="800"/>
      <c r="AF32" s="800"/>
      <c r="AG32" s="800"/>
      <c r="AH32" s="800"/>
      <c r="AI32" s="800"/>
    </row>
    <row r="33" spans="1:35" s="803" customFormat="1" ht="11.5" x14ac:dyDescent="0.3">
      <c r="A33" s="783">
        <v>5</v>
      </c>
      <c r="B33" s="769" t="s">
        <v>120</v>
      </c>
      <c r="C33" s="829"/>
      <c r="D33" s="828"/>
      <c r="E33" s="829"/>
      <c r="F33" s="874">
        <f>ROUND(SUBTOTAL(9,F34:F34),-3)</f>
        <v>15000</v>
      </c>
      <c r="G33" s="875">
        <f>IF(F33="","",F33/$F$5)</f>
        <v>31.25</v>
      </c>
      <c r="H33" s="874">
        <f>982*0</f>
        <v>0</v>
      </c>
      <c r="I33" s="873">
        <f>F33-H33</f>
        <v>15000</v>
      </c>
      <c r="J33" s="830" t="s">
        <v>558</v>
      </c>
      <c r="K33" s="836"/>
      <c r="L33" s="836"/>
      <c r="M33" s="842"/>
      <c r="N33" s="833"/>
      <c r="O33" s="833"/>
      <c r="P33" s="843"/>
      <c r="Q33" s="843"/>
      <c r="T33" s="800"/>
      <c r="U33" s="800"/>
      <c r="V33" s="800"/>
      <c r="W33" s="800"/>
      <c r="X33" s="800"/>
      <c r="Y33" s="800"/>
      <c r="Z33" s="800"/>
      <c r="AA33" s="800"/>
      <c r="AB33" s="800"/>
      <c r="AC33" s="800"/>
      <c r="AD33" s="800"/>
      <c r="AE33" s="800"/>
      <c r="AF33" s="800"/>
      <c r="AG33" s="800"/>
      <c r="AH33" s="800"/>
      <c r="AI33" s="800"/>
    </row>
    <row r="34" spans="1:35" s="803" customFormat="1" ht="12" x14ac:dyDescent="0.3">
      <c r="A34" s="784">
        <v>5.0999999999999996</v>
      </c>
      <c r="B34" s="770" t="s">
        <v>622</v>
      </c>
      <c r="C34" s="829">
        <v>1</v>
      </c>
      <c r="D34" s="823" t="s">
        <v>331</v>
      </c>
      <c r="E34" s="881">
        <v>15000</v>
      </c>
      <c r="F34" s="870">
        <f>C34*E34</f>
        <v>15000</v>
      </c>
      <c r="G34" s="876">
        <f>IF(F34="","",F34/$F$5)</f>
        <v>31.25</v>
      </c>
      <c r="H34" s="877"/>
      <c r="I34" s="878"/>
      <c r="J34" s="825" t="s">
        <v>623</v>
      </c>
      <c r="K34" s="836"/>
      <c r="L34" s="836"/>
      <c r="M34" s="831" t="s">
        <v>542</v>
      </c>
      <c r="N34" s="833"/>
      <c r="T34" s="800"/>
      <c r="U34" s="800"/>
      <c r="V34" s="800"/>
      <c r="W34" s="800"/>
      <c r="X34" s="800"/>
      <c r="Y34" s="800"/>
      <c r="Z34" s="800"/>
      <c r="AA34" s="800"/>
      <c r="AB34" s="800"/>
      <c r="AC34" s="800"/>
      <c r="AD34" s="800"/>
      <c r="AE34" s="800"/>
      <c r="AF34" s="800"/>
      <c r="AG34" s="800"/>
      <c r="AH34" s="800"/>
      <c r="AI34" s="800"/>
    </row>
    <row r="35" spans="1:35" ht="12" x14ac:dyDescent="0.3">
      <c r="A35" s="784"/>
      <c r="B35" s="869"/>
      <c r="C35" s="829"/>
      <c r="D35" s="882"/>
      <c r="E35" s="883"/>
      <c r="F35" s="870"/>
      <c r="G35" s="871" t="str">
        <f>IF(F35="","",F35/#REF!)</f>
        <v/>
      </c>
      <c r="H35" s="877"/>
      <c r="I35" s="878"/>
      <c r="J35" s="825"/>
      <c r="K35" s="836"/>
      <c r="L35" s="836"/>
      <c r="N35" s="833"/>
    </row>
    <row r="36" spans="1:35" ht="11.5" x14ac:dyDescent="0.3">
      <c r="A36" s="783">
        <v>6</v>
      </c>
      <c r="B36" s="774" t="s">
        <v>236</v>
      </c>
      <c r="C36" s="829"/>
      <c r="D36" s="844"/>
      <c r="E36" s="829"/>
      <c r="F36" s="874">
        <f>ROUND(SUBTOTAL(9,F37:F42),-3)</f>
        <v>137000</v>
      </c>
      <c r="G36" s="875">
        <f t="shared" ref="G36:G41" si="0">IF(F36="","",F36/$F$5)</f>
        <v>285.41666666666669</v>
      </c>
      <c r="H36" s="874">
        <f>982*184</f>
        <v>180688</v>
      </c>
      <c r="I36" s="873">
        <f>F36-H36</f>
        <v>-43688</v>
      </c>
      <c r="J36" s="830" t="s">
        <v>558</v>
      </c>
      <c r="K36" s="845"/>
      <c r="L36" s="836"/>
      <c r="M36" s="837"/>
      <c r="N36" s="833"/>
      <c r="O36" s="833"/>
      <c r="P36" s="833"/>
      <c r="Q36" s="833"/>
      <c r="AA36" s="803"/>
    </row>
    <row r="37" spans="1:35" ht="12" x14ac:dyDescent="0.3">
      <c r="A37" s="784">
        <v>6.1</v>
      </c>
      <c r="B37" s="770" t="s">
        <v>214</v>
      </c>
      <c r="C37" s="829">
        <f>75*3</f>
        <v>225</v>
      </c>
      <c r="D37" s="844" t="s">
        <v>27</v>
      </c>
      <c r="E37" s="829">
        <v>150</v>
      </c>
      <c r="F37" s="870">
        <f t="shared" ref="F37:F42" si="1">C37*E37</f>
        <v>33750</v>
      </c>
      <c r="G37" s="876">
        <f t="shared" si="0"/>
        <v>70.3125</v>
      </c>
      <c r="H37" s="877"/>
      <c r="I37" s="878"/>
      <c r="J37" s="839" t="s">
        <v>624</v>
      </c>
      <c r="K37" s="836"/>
      <c r="L37" s="836"/>
      <c r="M37" s="831" t="s">
        <v>634</v>
      </c>
      <c r="N37" s="833"/>
      <c r="AA37" s="803"/>
    </row>
    <row r="38" spans="1:35" ht="12" x14ac:dyDescent="0.3">
      <c r="A38" s="784">
        <v>6.2</v>
      </c>
      <c r="B38" s="770" t="s">
        <v>544</v>
      </c>
      <c r="C38" s="829">
        <f>ROUND(C37*45%,0)</f>
        <v>101</v>
      </c>
      <c r="D38" s="880" t="s">
        <v>27</v>
      </c>
      <c r="E38" s="829">
        <v>425</v>
      </c>
      <c r="F38" s="870">
        <f t="shared" si="1"/>
        <v>42925</v>
      </c>
      <c r="G38" s="876">
        <f t="shared" si="0"/>
        <v>89.427083333333329</v>
      </c>
      <c r="H38" s="877"/>
      <c r="I38" s="878"/>
      <c r="J38" s="825" t="s">
        <v>545</v>
      </c>
      <c r="K38" s="846"/>
      <c r="L38" s="847"/>
      <c r="N38" s="833"/>
      <c r="AA38" s="803"/>
    </row>
    <row r="39" spans="1:35" ht="12" x14ac:dyDescent="0.3">
      <c r="A39" s="784">
        <v>6.3</v>
      </c>
      <c r="B39" s="770" t="s">
        <v>485</v>
      </c>
      <c r="C39" s="829">
        <f>(C37-C38)*50%</f>
        <v>62</v>
      </c>
      <c r="D39" s="844" t="s">
        <v>27</v>
      </c>
      <c r="E39" s="829">
        <v>340</v>
      </c>
      <c r="F39" s="870">
        <f t="shared" si="1"/>
        <v>21080</v>
      </c>
      <c r="G39" s="876">
        <f t="shared" si="0"/>
        <v>43.916666666666664</v>
      </c>
      <c r="H39" s="877"/>
      <c r="I39" s="878"/>
      <c r="J39" s="839" t="s">
        <v>576</v>
      </c>
      <c r="K39" s="845"/>
      <c r="L39" s="847"/>
      <c r="N39" s="833"/>
      <c r="AA39" s="803"/>
    </row>
    <row r="40" spans="1:35" ht="23" x14ac:dyDescent="0.3">
      <c r="A40" s="784">
        <v>6.4</v>
      </c>
      <c r="B40" s="770" t="s">
        <v>218</v>
      </c>
      <c r="C40" s="829">
        <f>2*3</f>
        <v>6</v>
      </c>
      <c r="D40" s="880" t="s">
        <v>153</v>
      </c>
      <c r="E40" s="829">
        <v>200</v>
      </c>
      <c r="F40" s="870">
        <f t="shared" si="1"/>
        <v>1200</v>
      </c>
      <c r="G40" s="876">
        <f t="shared" si="0"/>
        <v>2.5</v>
      </c>
      <c r="H40" s="877"/>
      <c r="I40" s="878"/>
      <c r="J40" s="839" t="s">
        <v>578</v>
      </c>
      <c r="K40" s="845"/>
      <c r="L40" s="847"/>
      <c r="N40" s="833"/>
      <c r="AA40" s="803"/>
    </row>
    <row r="41" spans="1:35" ht="12" x14ac:dyDescent="0.3">
      <c r="A41" s="784">
        <v>6.5</v>
      </c>
      <c r="B41" s="770" t="s">
        <v>486</v>
      </c>
      <c r="C41" s="829">
        <v>1</v>
      </c>
      <c r="D41" s="880" t="s">
        <v>155</v>
      </c>
      <c r="E41" s="881">
        <v>2500</v>
      </c>
      <c r="F41" s="870">
        <f t="shared" si="1"/>
        <v>2500</v>
      </c>
      <c r="G41" s="876">
        <f t="shared" si="0"/>
        <v>5.208333333333333</v>
      </c>
      <c r="H41" s="877"/>
      <c r="I41" s="878"/>
      <c r="J41" s="839"/>
      <c r="K41" s="847"/>
      <c r="L41" s="848"/>
      <c r="N41" s="833"/>
      <c r="AA41" s="803"/>
    </row>
    <row r="42" spans="1:35" ht="12" x14ac:dyDescent="0.3">
      <c r="A42" s="784">
        <v>6.6</v>
      </c>
      <c r="B42" s="770" t="s">
        <v>487</v>
      </c>
      <c r="C42" s="829">
        <f>+C38</f>
        <v>101</v>
      </c>
      <c r="D42" s="844" t="s">
        <v>27</v>
      </c>
      <c r="E42" s="881">
        <v>350</v>
      </c>
      <c r="F42" s="870">
        <f t="shared" si="1"/>
        <v>35350</v>
      </c>
      <c r="G42" s="876">
        <f>IF(F42="","",F42/$F$5)</f>
        <v>73.645833333333329</v>
      </c>
      <c r="H42" s="877"/>
      <c r="I42" s="878"/>
      <c r="J42" s="825"/>
      <c r="K42" s="800"/>
      <c r="L42" s="848"/>
      <c r="N42" s="833"/>
      <c r="AA42" s="849" t="s">
        <v>404</v>
      </c>
      <c r="AB42" s="850">
        <v>65</v>
      </c>
    </row>
    <row r="43" spans="1:35" ht="11.5" x14ac:dyDescent="0.3">
      <c r="A43" s="784"/>
      <c r="B43" s="774"/>
      <c r="C43" s="829"/>
      <c r="D43" s="844"/>
      <c r="E43" s="829"/>
      <c r="F43" s="874"/>
      <c r="G43" s="875"/>
      <c r="H43" s="874"/>
      <c r="I43" s="873"/>
      <c r="J43" s="825"/>
      <c r="K43" s="836"/>
      <c r="L43" s="848"/>
      <c r="N43" s="833"/>
    </row>
    <row r="44" spans="1:35" ht="11.5" x14ac:dyDescent="0.3">
      <c r="A44" s="783">
        <v>7</v>
      </c>
      <c r="B44" s="774" t="s">
        <v>51</v>
      </c>
      <c r="C44" s="829"/>
      <c r="D44" s="844"/>
      <c r="E44" s="829"/>
      <c r="F44" s="874">
        <f>ROUND(SUBTOTAL(9,F45:F47),-3)</f>
        <v>22000</v>
      </c>
      <c r="G44" s="875">
        <f>IF(F44="","",F44/$F$5)</f>
        <v>45.833333333333336</v>
      </c>
      <c r="H44" s="874">
        <f>982*91</f>
        <v>89362</v>
      </c>
      <c r="I44" s="873">
        <f>F44-H44</f>
        <v>-67362</v>
      </c>
      <c r="J44" s="830" t="s">
        <v>558</v>
      </c>
      <c r="K44" s="836"/>
      <c r="L44" s="836"/>
      <c r="N44" s="833"/>
    </row>
    <row r="45" spans="1:35" ht="12" x14ac:dyDescent="0.3">
      <c r="A45" s="784">
        <v>7.1</v>
      </c>
      <c r="B45" s="770" t="s">
        <v>564</v>
      </c>
      <c r="C45" s="829">
        <f>90*3</f>
        <v>270</v>
      </c>
      <c r="D45" s="844" t="s">
        <v>27</v>
      </c>
      <c r="E45" s="829">
        <v>30</v>
      </c>
      <c r="F45" s="870">
        <f>C45*E45</f>
        <v>8100</v>
      </c>
      <c r="G45" s="876">
        <f>IF(F45="","",F45/$F$5)</f>
        <v>16.875</v>
      </c>
      <c r="H45" s="877"/>
      <c r="I45" s="878"/>
      <c r="J45" s="825" t="s">
        <v>627</v>
      </c>
      <c r="K45" s="836"/>
      <c r="L45" s="836"/>
      <c r="M45" s="837" t="s">
        <v>549</v>
      </c>
      <c r="N45" s="833"/>
      <c r="O45" s="833"/>
    </row>
    <row r="46" spans="1:35" ht="23" x14ac:dyDescent="0.3">
      <c r="A46" s="784">
        <v>7.2</v>
      </c>
      <c r="B46" s="770" t="s">
        <v>579</v>
      </c>
      <c r="C46" s="829">
        <f>(24*3)+(21*3)</f>
        <v>135</v>
      </c>
      <c r="D46" s="844" t="s">
        <v>27</v>
      </c>
      <c r="E46" s="829">
        <v>100</v>
      </c>
      <c r="F46" s="870">
        <f>C46*E46</f>
        <v>13500</v>
      </c>
      <c r="G46" s="876">
        <f>IF(F46="","",F46/$F$5)</f>
        <v>28.125</v>
      </c>
      <c r="H46" s="877"/>
      <c r="I46" s="878"/>
      <c r="J46" s="839" t="s">
        <v>628</v>
      </c>
      <c r="K46" s="836"/>
      <c r="L46" s="836"/>
      <c r="M46" s="961" t="s">
        <v>550</v>
      </c>
      <c r="N46" s="833"/>
      <c r="O46" s="833"/>
    </row>
    <row r="47" spans="1:35" ht="12" x14ac:dyDescent="0.3">
      <c r="A47" s="784">
        <v>7.3</v>
      </c>
      <c r="B47" s="996" t="s">
        <v>458</v>
      </c>
      <c r="C47" s="829">
        <v>0</v>
      </c>
      <c r="D47" s="844" t="s">
        <v>27</v>
      </c>
      <c r="E47" s="997">
        <v>650</v>
      </c>
      <c r="F47" s="870">
        <f>C47*E47</f>
        <v>0</v>
      </c>
      <c r="G47" s="876">
        <f>IF(F47="","",F47/$F$5)</f>
        <v>0</v>
      </c>
      <c r="H47" s="877"/>
      <c r="I47" s="878"/>
      <c r="J47" s="825" t="s">
        <v>631</v>
      </c>
      <c r="K47" s="836"/>
      <c r="L47" s="836"/>
      <c r="M47" s="961" t="s">
        <v>551</v>
      </c>
      <c r="N47" s="833"/>
      <c r="O47" s="833"/>
    </row>
    <row r="48" spans="1:35" ht="12" x14ac:dyDescent="0.3">
      <c r="A48" s="784"/>
      <c r="B48" s="770"/>
      <c r="C48" s="829"/>
      <c r="D48" s="882"/>
      <c r="E48" s="829"/>
      <c r="F48" s="829"/>
      <c r="G48" s="829"/>
      <c r="H48" s="877"/>
      <c r="I48" s="878"/>
      <c r="J48" s="825"/>
      <c r="K48" s="836"/>
      <c r="L48" s="836"/>
      <c r="M48" s="837"/>
      <c r="N48" s="833"/>
      <c r="O48" s="833"/>
    </row>
    <row r="49" spans="1:35" ht="12" x14ac:dyDescent="0.3">
      <c r="A49" s="783">
        <v>8</v>
      </c>
      <c r="B49" s="774" t="s">
        <v>52</v>
      </c>
      <c r="C49" s="829"/>
      <c r="D49" s="844"/>
      <c r="E49" s="829"/>
      <c r="F49" s="874">
        <f>ROUND(SUBTOTAL(9,F50:F51),-3)</f>
        <v>5000</v>
      </c>
      <c r="G49" s="875">
        <f>IF(F49="","",F49/$F$5)</f>
        <v>10.416666666666666</v>
      </c>
      <c r="H49" s="877"/>
      <c r="I49" s="878"/>
      <c r="J49" s="830" t="s">
        <v>558</v>
      </c>
      <c r="K49" s="836"/>
      <c r="L49" s="836"/>
      <c r="M49" s="837"/>
      <c r="N49" s="833"/>
      <c r="O49" s="833"/>
    </row>
    <row r="50" spans="1:35" ht="12" x14ac:dyDescent="0.3">
      <c r="A50" s="784">
        <v>8.1</v>
      </c>
      <c r="B50" s="770" t="s">
        <v>626</v>
      </c>
      <c r="C50" s="829">
        <v>1</v>
      </c>
      <c r="D50" s="880" t="s">
        <v>155</v>
      </c>
      <c r="E50" s="829">
        <v>2500</v>
      </c>
      <c r="F50" s="870">
        <f>C50*E50</f>
        <v>2500</v>
      </c>
      <c r="G50" s="876">
        <f>IF(F50="","",F50/$F$5)</f>
        <v>5.208333333333333</v>
      </c>
      <c r="H50" s="877"/>
      <c r="I50" s="878"/>
      <c r="J50" s="825"/>
      <c r="K50" s="836"/>
      <c r="L50" s="836"/>
      <c r="M50" s="837"/>
      <c r="N50" s="833"/>
      <c r="O50" s="833"/>
    </row>
    <row r="51" spans="1:35" ht="12" x14ac:dyDescent="0.3">
      <c r="A51" s="784">
        <v>8.1999999999999993</v>
      </c>
      <c r="B51" s="770" t="s">
        <v>625</v>
      </c>
      <c r="C51" s="829">
        <v>2</v>
      </c>
      <c r="D51" s="880" t="s">
        <v>155</v>
      </c>
      <c r="E51" s="829">
        <v>1200</v>
      </c>
      <c r="F51" s="870">
        <f>C51*E51</f>
        <v>2400</v>
      </c>
      <c r="G51" s="876">
        <f>IF(F51="","",F51/$F$5)</f>
        <v>5</v>
      </c>
      <c r="H51" s="877"/>
      <c r="I51" s="878"/>
      <c r="J51" s="825" t="s">
        <v>632</v>
      </c>
      <c r="K51" s="836"/>
      <c r="L51" s="848"/>
      <c r="N51" s="833"/>
    </row>
    <row r="52" spans="1:35" ht="12" x14ac:dyDescent="0.3">
      <c r="A52" s="784"/>
      <c r="B52" s="770"/>
      <c r="C52" s="829"/>
      <c r="D52" s="882"/>
      <c r="E52" s="829"/>
      <c r="F52" s="829"/>
      <c r="G52" s="829"/>
      <c r="H52" s="877"/>
      <c r="I52" s="878"/>
      <c r="J52" s="825"/>
      <c r="K52" s="836"/>
      <c r="L52" s="848"/>
      <c r="N52" s="833"/>
    </row>
    <row r="53" spans="1:35" ht="11.5" x14ac:dyDescent="0.3">
      <c r="A53" s="783">
        <v>9</v>
      </c>
      <c r="B53" s="775" t="s">
        <v>238</v>
      </c>
      <c r="C53" s="829"/>
      <c r="D53" s="844"/>
      <c r="E53" s="829"/>
      <c r="F53" s="874" t="e">
        <f>ROUND(SUBTOTAL(9,F54:F63),-3)</f>
        <v>#REF!</v>
      </c>
      <c r="G53" s="875" t="e">
        <f>IF(F53="","",F53/$F$5)</f>
        <v>#REF!</v>
      </c>
      <c r="H53" s="874">
        <f>982*25</f>
        <v>24550</v>
      </c>
      <c r="I53" s="873" t="e">
        <f>F53-H53</f>
        <v>#REF!</v>
      </c>
      <c r="J53" s="830" t="s">
        <v>558</v>
      </c>
      <c r="K53" s="836"/>
      <c r="L53" s="836"/>
      <c r="N53" s="833"/>
    </row>
    <row r="54" spans="1:35" ht="12" x14ac:dyDescent="0.3">
      <c r="A54" s="785">
        <v>9.1</v>
      </c>
      <c r="B54" s="776" t="s">
        <v>459</v>
      </c>
      <c r="C54" s="829"/>
      <c r="D54" s="880"/>
      <c r="E54" s="881"/>
      <c r="F54" s="870"/>
      <c r="G54" s="876"/>
      <c r="H54" s="877"/>
      <c r="I54" s="878"/>
      <c r="J54" s="825"/>
      <c r="K54" s="836"/>
      <c r="L54" s="836"/>
      <c r="N54" s="833"/>
    </row>
    <row r="55" spans="1:35" ht="12" x14ac:dyDescent="0.3">
      <c r="A55" s="784" t="s">
        <v>460</v>
      </c>
      <c r="B55" s="770" t="s">
        <v>468</v>
      </c>
      <c r="C55" s="829">
        <f>C45+C46*2-C56</f>
        <v>488</v>
      </c>
      <c r="D55" s="880" t="s">
        <v>27</v>
      </c>
      <c r="E55" s="881">
        <v>7</v>
      </c>
      <c r="F55" s="870">
        <f>C55*E55</f>
        <v>3416</v>
      </c>
      <c r="G55" s="876">
        <f>IF(F55="","",F55/$F$5)</f>
        <v>7.1166666666666663</v>
      </c>
      <c r="H55" s="877"/>
      <c r="I55" s="878"/>
      <c r="J55" s="825"/>
      <c r="K55" s="836"/>
      <c r="L55" s="836"/>
      <c r="N55" s="833"/>
    </row>
    <row r="56" spans="1:35" s="803" customFormat="1" ht="12" x14ac:dyDescent="0.3">
      <c r="A56" s="784" t="s">
        <v>461</v>
      </c>
      <c r="B56" s="770" t="s">
        <v>629</v>
      </c>
      <c r="C56" s="829">
        <f>(48)+4</f>
        <v>52</v>
      </c>
      <c r="D56" s="880" t="s">
        <v>27</v>
      </c>
      <c r="E56" s="881">
        <v>70</v>
      </c>
      <c r="F56" s="870">
        <f>C56*E56</f>
        <v>3640</v>
      </c>
      <c r="G56" s="876">
        <f>IF(F56="","",F56/$F$5)</f>
        <v>7.583333333333333</v>
      </c>
      <c r="H56" s="877"/>
      <c r="I56" s="878"/>
      <c r="J56" s="825" t="s">
        <v>635</v>
      </c>
      <c r="K56" s="836"/>
      <c r="L56" s="836"/>
      <c r="M56" s="837"/>
      <c r="N56" s="833"/>
      <c r="O56" s="833"/>
      <c r="T56" s="800"/>
      <c r="U56" s="800"/>
      <c r="V56" s="800"/>
      <c r="W56" s="800"/>
      <c r="X56" s="800"/>
      <c r="Y56" s="800"/>
      <c r="Z56" s="800"/>
      <c r="AA56" s="800"/>
      <c r="AB56" s="800"/>
      <c r="AC56" s="800"/>
      <c r="AD56" s="800"/>
      <c r="AE56" s="800"/>
      <c r="AF56" s="800"/>
      <c r="AG56" s="800"/>
      <c r="AH56" s="800"/>
      <c r="AI56" s="800"/>
    </row>
    <row r="57" spans="1:35" s="803" customFormat="1" ht="12" x14ac:dyDescent="0.3">
      <c r="A57" s="785">
        <v>9.1999999999999993</v>
      </c>
      <c r="B57" s="776" t="s">
        <v>223</v>
      </c>
      <c r="C57" s="829"/>
      <c r="D57" s="880"/>
      <c r="E57" s="881"/>
      <c r="F57" s="870"/>
      <c r="G57" s="876"/>
      <c r="H57" s="877"/>
      <c r="I57" s="878"/>
      <c r="J57" s="825"/>
      <c r="K57" s="836"/>
      <c r="L57" s="836"/>
      <c r="M57" s="837"/>
      <c r="N57" s="833"/>
      <c r="O57" s="833"/>
      <c r="T57" s="800"/>
      <c r="U57" s="800"/>
      <c r="V57" s="800"/>
      <c r="W57" s="800"/>
      <c r="X57" s="800"/>
      <c r="Y57" s="800"/>
      <c r="Z57" s="800"/>
      <c r="AA57" s="800"/>
      <c r="AB57" s="800"/>
      <c r="AC57" s="800"/>
      <c r="AD57" s="800"/>
      <c r="AE57" s="800"/>
      <c r="AF57" s="800"/>
      <c r="AG57" s="800"/>
      <c r="AH57" s="800"/>
      <c r="AI57" s="800"/>
    </row>
    <row r="58" spans="1:35" s="803" customFormat="1" ht="12" x14ac:dyDescent="0.3">
      <c r="A58" s="784" t="s">
        <v>462</v>
      </c>
      <c r="B58" s="770" t="s">
        <v>469</v>
      </c>
      <c r="C58" s="829" t="e">
        <f>C12</f>
        <v>#REF!</v>
      </c>
      <c r="D58" s="880" t="s">
        <v>27</v>
      </c>
      <c r="E58" s="829">
        <v>45</v>
      </c>
      <c r="F58" s="870" t="e">
        <f>C58*E58</f>
        <v>#REF!</v>
      </c>
      <c r="G58" s="876" t="e">
        <f>IF(F58="","",F58/$F$5)</f>
        <v>#REF!</v>
      </c>
      <c r="H58" s="877"/>
      <c r="I58" s="878"/>
      <c r="J58" s="839"/>
      <c r="K58" s="836"/>
      <c r="L58" s="836"/>
      <c r="M58" s="831"/>
      <c r="N58" s="833"/>
      <c r="T58" s="800"/>
      <c r="U58" s="800"/>
      <c r="V58" s="800"/>
      <c r="W58" s="800"/>
      <c r="X58" s="800"/>
      <c r="Y58" s="800"/>
      <c r="Z58" s="800"/>
      <c r="AA58" s="800"/>
      <c r="AB58" s="800"/>
      <c r="AC58" s="800"/>
      <c r="AD58" s="800"/>
      <c r="AE58" s="800"/>
      <c r="AF58" s="800"/>
      <c r="AG58" s="800"/>
      <c r="AH58" s="800"/>
      <c r="AI58" s="800"/>
    </row>
    <row r="59" spans="1:35" s="803" customFormat="1" ht="12" x14ac:dyDescent="0.3">
      <c r="A59" s="784" t="s">
        <v>463</v>
      </c>
      <c r="B59" s="770" t="s">
        <v>470</v>
      </c>
      <c r="C59" s="829" t="e">
        <f>C58-C60</f>
        <v>#REF!</v>
      </c>
      <c r="D59" s="880" t="s">
        <v>27</v>
      </c>
      <c r="E59" s="883">
        <v>30</v>
      </c>
      <c r="F59" s="870" t="e">
        <f>C59*E59</f>
        <v>#REF!</v>
      </c>
      <c r="G59" s="876" t="e">
        <f>IF(F59="","",F59/$F$5)</f>
        <v>#REF!</v>
      </c>
      <c r="H59" s="877"/>
      <c r="I59" s="878"/>
      <c r="J59" s="839"/>
      <c r="K59" s="836"/>
      <c r="L59" s="836"/>
      <c r="M59" s="831"/>
      <c r="N59" s="833"/>
      <c r="T59" s="800"/>
      <c r="U59" s="800"/>
      <c r="V59" s="800"/>
      <c r="W59" s="800"/>
      <c r="X59" s="800"/>
      <c r="Y59" s="800"/>
      <c r="Z59" s="800"/>
      <c r="AA59" s="800"/>
      <c r="AB59" s="800"/>
      <c r="AC59" s="800"/>
      <c r="AD59" s="800"/>
      <c r="AE59" s="800"/>
      <c r="AF59" s="800"/>
      <c r="AG59" s="800"/>
      <c r="AH59" s="800"/>
      <c r="AI59" s="800"/>
    </row>
    <row r="60" spans="1:35" s="803" customFormat="1" ht="12" x14ac:dyDescent="0.3">
      <c r="A60" s="784" t="s">
        <v>464</v>
      </c>
      <c r="B60" s="770" t="s">
        <v>471</v>
      </c>
      <c r="C60" s="829">
        <v>8</v>
      </c>
      <c r="D60" s="880" t="s">
        <v>27</v>
      </c>
      <c r="E60" s="883">
        <v>80</v>
      </c>
      <c r="F60" s="870">
        <f>C60*E60</f>
        <v>640</v>
      </c>
      <c r="G60" s="876">
        <f>IF(F60="","",F60/$F$5)</f>
        <v>1.3333333333333333</v>
      </c>
      <c r="H60" s="877"/>
      <c r="I60" s="878"/>
      <c r="J60" s="825"/>
      <c r="K60" s="836"/>
      <c r="L60" s="836"/>
      <c r="M60" s="831"/>
      <c r="N60" s="833"/>
      <c r="T60" s="800"/>
      <c r="U60" s="800"/>
      <c r="V60" s="800"/>
      <c r="W60" s="800"/>
      <c r="X60" s="800"/>
      <c r="Y60" s="800"/>
      <c r="Z60" s="800"/>
      <c r="AA60" s="800"/>
      <c r="AB60" s="800"/>
      <c r="AC60" s="800"/>
      <c r="AD60" s="800"/>
      <c r="AE60" s="800"/>
      <c r="AF60" s="800"/>
      <c r="AG60" s="800"/>
      <c r="AH60" s="800"/>
      <c r="AI60" s="800"/>
    </row>
    <row r="61" spans="1:35" s="803" customFormat="1" ht="12" x14ac:dyDescent="0.3">
      <c r="A61" s="784" t="s">
        <v>465</v>
      </c>
      <c r="B61" s="770" t="s">
        <v>472</v>
      </c>
      <c r="C61" s="829">
        <f>ROUND(90+((C46/3)*2),0)</f>
        <v>180</v>
      </c>
      <c r="D61" s="844" t="s">
        <v>153</v>
      </c>
      <c r="E61" s="829">
        <v>25</v>
      </c>
      <c r="F61" s="870">
        <f>C61*E61</f>
        <v>4500</v>
      </c>
      <c r="G61" s="876">
        <f>IF(F61="","",F61/$F$5)</f>
        <v>9.375</v>
      </c>
      <c r="H61" s="877"/>
      <c r="I61" s="878" t="str">
        <f>IF(H61="","",F61-H61)</f>
        <v/>
      </c>
      <c r="J61" s="825"/>
      <c r="K61" s="836"/>
      <c r="L61" s="848"/>
      <c r="M61" s="831"/>
      <c r="N61" s="833"/>
      <c r="T61" s="800"/>
      <c r="U61" s="800"/>
      <c r="V61" s="800"/>
      <c r="W61" s="800"/>
      <c r="X61" s="800"/>
      <c r="Y61" s="800"/>
      <c r="Z61" s="800"/>
      <c r="AA61" s="800"/>
      <c r="AB61" s="800"/>
      <c r="AC61" s="800"/>
      <c r="AD61" s="800"/>
      <c r="AE61" s="800"/>
      <c r="AF61" s="800"/>
      <c r="AG61" s="800"/>
      <c r="AH61" s="800"/>
      <c r="AI61" s="800"/>
    </row>
    <row r="62" spans="1:35" s="888" customFormat="1" ht="12" x14ac:dyDescent="0.3">
      <c r="A62" s="785">
        <v>9.3000000000000007</v>
      </c>
      <c r="B62" s="867" t="s">
        <v>467</v>
      </c>
      <c r="C62" s="829"/>
      <c r="D62" s="844"/>
      <c r="E62" s="829"/>
      <c r="F62" s="870"/>
      <c r="G62" s="876"/>
      <c r="H62" s="877"/>
      <c r="I62" s="878" t="str">
        <f>IF(H62="","",F62-H62)</f>
        <v/>
      </c>
      <c r="J62" s="825"/>
      <c r="K62" s="884"/>
      <c r="L62" s="884"/>
      <c r="M62" s="885"/>
      <c r="N62" s="886"/>
      <c r="O62" s="887"/>
      <c r="T62" s="889"/>
      <c r="U62" s="889"/>
      <c r="V62" s="889"/>
      <c r="W62" s="889"/>
      <c r="X62" s="889"/>
      <c r="Y62" s="889"/>
      <c r="Z62" s="889"/>
      <c r="AA62" s="889"/>
      <c r="AB62" s="889"/>
      <c r="AC62" s="889"/>
      <c r="AD62" s="889"/>
      <c r="AE62" s="889"/>
      <c r="AF62" s="889"/>
      <c r="AG62" s="889"/>
      <c r="AH62" s="889"/>
      <c r="AI62" s="889"/>
    </row>
    <row r="63" spans="1:35" s="888" customFormat="1" ht="12" x14ac:dyDescent="0.3">
      <c r="A63" s="784" t="s">
        <v>466</v>
      </c>
      <c r="B63" s="777" t="s">
        <v>562</v>
      </c>
      <c r="C63" s="829" t="e">
        <f>C58</f>
        <v>#REF!</v>
      </c>
      <c r="D63" s="880" t="s">
        <v>27</v>
      </c>
      <c r="E63" s="829">
        <v>35</v>
      </c>
      <c r="F63" s="870" t="e">
        <f>C63*E63</f>
        <v>#REF!</v>
      </c>
      <c r="G63" s="876" t="e">
        <f>IF(F63="","",F63/$F$5)</f>
        <v>#REF!</v>
      </c>
      <c r="H63" s="877"/>
      <c r="I63" s="878"/>
      <c r="J63" s="825" t="s">
        <v>563</v>
      </c>
      <c r="K63" s="884"/>
      <c r="L63" s="884"/>
      <c r="M63" s="962" t="s">
        <v>552</v>
      </c>
      <c r="N63" s="886"/>
      <c r="O63" s="887"/>
      <c r="T63" s="889"/>
      <c r="U63" s="889"/>
      <c r="V63" s="889"/>
      <c r="W63" s="889"/>
      <c r="X63" s="889"/>
      <c r="Y63" s="889"/>
      <c r="Z63" s="889"/>
      <c r="AA63" s="889"/>
      <c r="AB63" s="889"/>
      <c r="AC63" s="889"/>
      <c r="AD63" s="889"/>
      <c r="AE63" s="889"/>
      <c r="AF63" s="889"/>
      <c r="AG63" s="889"/>
      <c r="AH63" s="889"/>
      <c r="AI63" s="889"/>
    </row>
    <row r="64" spans="1:35" s="888" customFormat="1" ht="12" x14ac:dyDescent="0.3">
      <c r="A64" s="784"/>
      <c r="B64" s="777"/>
      <c r="C64" s="829"/>
      <c r="D64" s="844"/>
      <c r="E64" s="829"/>
      <c r="F64" s="870"/>
      <c r="G64" s="871"/>
      <c r="H64" s="877"/>
      <c r="I64" s="878"/>
      <c r="J64" s="825"/>
      <c r="K64" s="884"/>
      <c r="L64" s="884"/>
      <c r="M64" s="885"/>
      <c r="N64" s="886"/>
      <c r="O64" s="887"/>
      <c r="T64" s="889"/>
      <c r="U64" s="889"/>
      <c r="V64" s="889"/>
      <c r="W64" s="889"/>
      <c r="X64" s="889"/>
      <c r="Y64" s="889"/>
      <c r="Z64" s="889"/>
      <c r="AA64" s="889"/>
      <c r="AB64" s="889"/>
      <c r="AC64" s="889"/>
      <c r="AD64" s="889"/>
      <c r="AE64" s="889"/>
      <c r="AF64" s="889"/>
      <c r="AG64" s="889"/>
      <c r="AH64" s="889"/>
      <c r="AI64" s="889"/>
    </row>
    <row r="65" spans="1:35" s="888" customFormat="1" ht="11.5" x14ac:dyDescent="0.3">
      <c r="A65" s="783">
        <v>10</v>
      </c>
      <c r="B65" s="774" t="s">
        <v>165</v>
      </c>
      <c r="C65" s="829"/>
      <c r="D65" s="844"/>
      <c r="E65" s="829"/>
      <c r="F65" s="874">
        <f>ROUND(SUBTOTAL(9,F66:F67),-3)</f>
        <v>15000</v>
      </c>
      <c r="G65" s="875">
        <f>IF(F65="","",F65/$F$5)</f>
        <v>31.25</v>
      </c>
      <c r="H65" s="874">
        <f>982*40</f>
        <v>39280</v>
      </c>
      <c r="I65" s="873">
        <f>F65-H65</f>
        <v>-24280</v>
      </c>
      <c r="J65" s="830" t="s">
        <v>558</v>
      </c>
      <c r="K65" s="884"/>
      <c r="L65" s="884"/>
      <c r="M65" s="885"/>
      <c r="N65" s="886"/>
      <c r="O65" s="887"/>
      <c r="T65" s="889"/>
      <c r="U65" s="889"/>
      <c r="V65" s="889"/>
      <c r="W65" s="889"/>
      <c r="X65" s="889"/>
      <c r="Y65" s="889"/>
      <c r="Z65" s="889"/>
      <c r="AA65" s="889"/>
      <c r="AB65" s="889"/>
      <c r="AC65" s="889"/>
      <c r="AD65" s="889"/>
      <c r="AE65" s="889"/>
      <c r="AF65" s="889"/>
      <c r="AG65" s="889"/>
      <c r="AH65" s="889"/>
      <c r="AI65" s="889"/>
    </row>
    <row r="66" spans="1:35" s="803" customFormat="1" ht="12" x14ac:dyDescent="0.3">
      <c r="A66" s="786">
        <v>10.1</v>
      </c>
      <c r="B66" s="770" t="s">
        <v>473</v>
      </c>
      <c r="C66" s="829">
        <v>1</v>
      </c>
      <c r="D66" s="880" t="s">
        <v>158</v>
      </c>
      <c r="E66" s="829">
        <v>3000</v>
      </c>
      <c r="F66" s="870">
        <f>C66*E66</f>
        <v>3000</v>
      </c>
      <c r="G66" s="876">
        <f>IF(F66="","",F66/$F$5)</f>
        <v>6.25</v>
      </c>
      <c r="H66" s="877"/>
      <c r="I66" s="878"/>
      <c r="J66" s="839"/>
      <c r="K66" s="836"/>
      <c r="L66" s="836"/>
      <c r="M66" s="831"/>
      <c r="N66" s="833"/>
      <c r="T66" s="800"/>
      <c r="U66" s="800"/>
      <c r="V66" s="800"/>
      <c r="W66" s="800"/>
      <c r="X66" s="800"/>
      <c r="Y66" s="800"/>
      <c r="Z66" s="800"/>
      <c r="AA66" s="800"/>
      <c r="AB66" s="800"/>
      <c r="AC66" s="800"/>
      <c r="AD66" s="800"/>
      <c r="AE66" s="800"/>
      <c r="AF66" s="800"/>
      <c r="AG66" s="800"/>
      <c r="AH66" s="800"/>
      <c r="AI66" s="800"/>
    </row>
    <row r="67" spans="1:35" s="803" customFormat="1" ht="12" x14ac:dyDescent="0.3">
      <c r="A67" s="786">
        <v>10.199999999999999</v>
      </c>
      <c r="B67" s="770" t="s">
        <v>474</v>
      </c>
      <c r="C67" s="829">
        <v>2</v>
      </c>
      <c r="D67" s="882" t="s">
        <v>155</v>
      </c>
      <c r="E67" s="829">
        <v>6000</v>
      </c>
      <c r="F67" s="870">
        <f>C67*E67</f>
        <v>12000</v>
      </c>
      <c r="G67" s="876">
        <f>IF(F67="","",F67/$F$5)</f>
        <v>25</v>
      </c>
      <c r="H67" s="877"/>
      <c r="I67" s="878"/>
      <c r="J67" s="839"/>
      <c r="K67" s="836"/>
      <c r="L67" s="836"/>
      <c r="M67" s="960" t="s">
        <v>553</v>
      </c>
      <c r="N67" s="833"/>
      <c r="T67" s="800"/>
      <c r="U67" s="800"/>
      <c r="V67" s="800"/>
      <c r="W67" s="800"/>
      <c r="X67" s="800"/>
      <c r="Y67" s="800"/>
      <c r="Z67" s="800"/>
      <c r="AA67" s="800"/>
      <c r="AB67" s="800"/>
      <c r="AC67" s="800"/>
      <c r="AD67" s="800"/>
      <c r="AE67" s="800"/>
      <c r="AF67" s="800"/>
      <c r="AG67" s="800"/>
      <c r="AH67" s="800"/>
      <c r="AI67" s="800"/>
    </row>
    <row r="68" spans="1:35" s="803" customFormat="1" ht="12" x14ac:dyDescent="0.3">
      <c r="A68" s="784"/>
      <c r="B68" s="777"/>
      <c r="C68" s="829"/>
      <c r="D68" s="882"/>
      <c r="E68" s="829"/>
      <c r="F68" s="870"/>
      <c r="G68" s="871"/>
      <c r="H68" s="877"/>
      <c r="I68" s="878"/>
      <c r="J68" s="839"/>
      <c r="K68" s="847"/>
      <c r="L68" s="847"/>
      <c r="M68" s="837"/>
      <c r="N68" s="833"/>
      <c r="O68" s="833"/>
      <c r="T68" s="800"/>
      <c r="U68" s="800"/>
      <c r="V68" s="800"/>
      <c r="W68" s="800"/>
      <c r="X68" s="800"/>
      <c r="Y68" s="800"/>
      <c r="Z68" s="800"/>
      <c r="AA68" s="800"/>
      <c r="AB68" s="800"/>
      <c r="AC68" s="800"/>
      <c r="AD68" s="800"/>
      <c r="AE68" s="800"/>
      <c r="AF68" s="800"/>
      <c r="AG68" s="800"/>
      <c r="AH68" s="800"/>
      <c r="AI68" s="800"/>
    </row>
    <row r="69" spans="1:35" s="803" customFormat="1" ht="11.5" x14ac:dyDescent="0.3">
      <c r="A69" s="783">
        <v>11</v>
      </c>
      <c r="B69" s="774" t="s">
        <v>559</v>
      </c>
      <c r="C69" s="829"/>
      <c r="D69" s="844"/>
      <c r="E69" s="829"/>
      <c r="F69" s="874">
        <f>ROUND(SUBTOTAL(9,F70:F107),-3)</f>
        <v>310000</v>
      </c>
      <c r="G69" s="875">
        <f>IF(F69="","",F69/$F$5)</f>
        <v>645.83333333333337</v>
      </c>
      <c r="H69" s="874">
        <f>982*398</f>
        <v>390836</v>
      </c>
      <c r="I69" s="873">
        <f>F69-H69</f>
        <v>-80836</v>
      </c>
      <c r="J69" s="830" t="s">
        <v>558</v>
      </c>
      <c r="K69" s="847"/>
      <c r="L69" s="847"/>
      <c r="M69" s="831"/>
      <c r="N69" s="833"/>
      <c r="T69" s="800"/>
      <c r="U69" s="800"/>
      <c r="V69" s="800"/>
      <c r="W69" s="800"/>
      <c r="X69" s="800"/>
      <c r="Y69" s="800"/>
      <c r="Z69" s="800"/>
      <c r="AA69" s="800"/>
      <c r="AB69" s="800"/>
      <c r="AC69" s="800"/>
      <c r="AD69" s="800"/>
      <c r="AE69" s="800"/>
      <c r="AF69" s="800"/>
      <c r="AG69" s="800"/>
      <c r="AH69" s="800"/>
      <c r="AI69" s="800"/>
    </row>
    <row r="70" spans="1:35" s="803" customFormat="1" ht="11.5" x14ac:dyDescent="0.3">
      <c r="A70" s="785">
        <v>11.1</v>
      </c>
      <c r="B70" s="867" t="s">
        <v>636</v>
      </c>
      <c r="C70" s="829"/>
      <c r="D70" s="844"/>
      <c r="E70" s="829"/>
      <c r="F70" s="874"/>
      <c r="G70" s="875"/>
      <c r="H70" s="987"/>
      <c r="I70" s="969"/>
      <c r="J70" s="830"/>
      <c r="K70" s="847"/>
      <c r="L70" s="847"/>
      <c r="M70" s="831"/>
      <c r="N70" s="833"/>
      <c r="T70" s="800"/>
      <c r="U70" s="800"/>
      <c r="V70" s="800"/>
      <c r="W70" s="800"/>
      <c r="X70" s="800"/>
      <c r="Y70" s="800"/>
      <c r="Z70" s="800"/>
      <c r="AA70" s="800"/>
      <c r="AB70" s="800"/>
      <c r="AC70" s="800"/>
      <c r="AD70" s="800"/>
      <c r="AE70" s="800"/>
      <c r="AF70" s="800"/>
      <c r="AG70" s="800"/>
      <c r="AH70" s="800"/>
      <c r="AI70" s="800"/>
    </row>
    <row r="71" spans="1:35" s="803" customFormat="1" ht="12" x14ac:dyDescent="0.3">
      <c r="A71" s="784" t="s">
        <v>406</v>
      </c>
      <c r="B71" s="777" t="s">
        <v>586</v>
      </c>
      <c r="C71" s="829">
        <v>6</v>
      </c>
      <c r="D71" s="844" t="s">
        <v>155</v>
      </c>
      <c r="E71" s="829">
        <v>400</v>
      </c>
      <c r="F71" s="870">
        <f t="shared" ref="F71:F106" si="2">C71*E71</f>
        <v>2400</v>
      </c>
      <c r="G71" s="876">
        <f>IF(F71="","",F71/$F$5)</f>
        <v>5</v>
      </c>
      <c r="H71" s="987"/>
      <c r="I71" s="969"/>
      <c r="J71" s="830" t="s">
        <v>587</v>
      </c>
      <c r="K71" s="847"/>
      <c r="L71" s="847"/>
      <c r="M71" s="831"/>
      <c r="N71" s="833"/>
      <c r="T71" s="800"/>
      <c r="U71" s="800"/>
      <c r="V71" s="800"/>
      <c r="W71" s="800"/>
      <c r="X71" s="800"/>
      <c r="Y71" s="800"/>
      <c r="Z71" s="800"/>
      <c r="AA71" s="800"/>
      <c r="AB71" s="800"/>
      <c r="AC71" s="800"/>
      <c r="AD71" s="800"/>
      <c r="AE71" s="800"/>
      <c r="AF71" s="800"/>
      <c r="AG71" s="800"/>
      <c r="AH71" s="800"/>
      <c r="AI71" s="800"/>
    </row>
    <row r="72" spans="1:35" s="803" customFormat="1" ht="12" x14ac:dyDescent="0.3">
      <c r="A72" s="784" t="s">
        <v>407</v>
      </c>
      <c r="B72" s="777" t="s">
        <v>588</v>
      </c>
      <c r="C72" s="829">
        <v>6</v>
      </c>
      <c r="D72" s="844" t="s">
        <v>155</v>
      </c>
      <c r="E72" s="829">
        <v>250</v>
      </c>
      <c r="F72" s="870">
        <f t="shared" si="2"/>
        <v>1500</v>
      </c>
      <c r="G72" s="876">
        <f>IF(F72="","",F72/$F$5)</f>
        <v>3.125</v>
      </c>
      <c r="H72" s="987"/>
      <c r="I72" s="969"/>
      <c r="J72" s="830" t="s">
        <v>611</v>
      </c>
      <c r="K72" s="847"/>
      <c r="L72" s="847"/>
      <c r="M72" s="831"/>
      <c r="N72" s="833"/>
      <c r="T72" s="800"/>
      <c r="U72" s="800"/>
      <c r="V72" s="800"/>
      <c r="W72" s="800"/>
      <c r="X72" s="800"/>
      <c r="Y72" s="800"/>
      <c r="Z72" s="800"/>
      <c r="AA72" s="800"/>
      <c r="AB72" s="800"/>
      <c r="AC72" s="800"/>
      <c r="AD72" s="800"/>
      <c r="AE72" s="800"/>
      <c r="AF72" s="800"/>
      <c r="AG72" s="800"/>
      <c r="AH72" s="800"/>
      <c r="AI72" s="800"/>
    </row>
    <row r="73" spans="1:35" s="803" customFormat="1" ht="12" x14ac:dyDescent="0.3">
      <c r="A73" s="784" t="s">
        <v>408</v>
      </c>
      <c r="B73" s="777" t="s">
        <v>589</v>
      </c>
      <c r="C73" s="829">
        <v>2</v>
      </c>
      <c r="D73" s="844" t="s">
        <v>155</v>
      </c>
      <c r="E73" s="829">
        <v>250</v>
      </c>
      <c r="F73" s="870">
        <f t="shared" si="2"/>
        <v>500</v>
      </c>
      <c r="G73" s="876">
        <f>IF(F73="","",F73/$F$5)</f>
        <v>1.0416666666666667</v>
      </c>
      <c r="H73" s="987"/>
      <c r="I73" s="969"/>
      <c r="J73" s="830" t="s">
        <v>611</v>
      </c>
      <c r="K73" s="847"/>
      <c r="L73" s="847"/>
      <c r="M73" s="831"/>
      <c r="N73" s="833"/>
      <c r="T73" s="800"/>
      <c r="U73" s="800"/>
      <c r="V73" s="800"/>
      <c r="W73" s="800"/>
      <c r="X73" s="800"/>
      <c r="Y73" s="800"/>
      <c r="Z73" s="800"/>
      <c r="AA73" s="800"/>
      <c r="AB73" s="800"/>
      <c r="AC73" s="800"/>
      <c r="AD73" s="800"/>
      <c r="AE73" s="800"/>
      <c r="AF73" s="800"/>
      <c r="AG73" s="800"/>
      <c r="AH73" s="800"/>
      <c r="AI73" s="800"/>
    </row>
    <row r="74" spans="1:35" s="803" customFormat="1" ht="12" x14ac:dyDescent="0.3">
      <c r="A74" s="784" t="s">
        <v>409</v>
      </c>
      <c r="B74" s="777" t="s">
        <v>590</v>
      </c>
      <c r="C74" s="829">
        <v>4</v>
      </c>
      <c r="D74" s="844" t="s">
        <v>155</v>
      </c>
      <c r="E74" s="829">
        <v>675</v>
      </c>
      <c r="F74" s="870">
        <f t="shared" si="2"/>
        <v>2700</v>
      </c>
      <c r="G74" s="876">
        <f>IF(F74="","",F74/$F$5)</f>
        <v>5.625</v>
      </c>
      <c r="H74" s="987"/>
      <c r="I74" s="969"/>
      <c r="J74" s="830" t="s">
        <v>591</v>
      </c>
      <c r="K74" s="847"/>
      <c r="L74" s="847"/>
      <c r="M74" s="831"/>
      <c r="N74" s="833"/>
      <c r="T74" s="800"/>
      <c r="U74" s="800"/>
      <c r="V74" s="800"/>
      <c r="W74" s="800"/>
      <c r="X74" s="800"/>
      <c r="Y74" s="800"/>
      <c r="Z74" s="800"/>
      <c r="AA74" s="800"/>
      <c r="AB74" s="800"/>
      <c r="AC74" s="800"/>
      <c r="AD74" s="800"/>
      <c r="AE74" s="800"/>
      <c r="AF74" s="800"/>
      <c r="AG74" s="800"/>
      <c r="AH74" s="800"/>
      <c r="AI74" s="800"/>
    </row>
    <row r="75" spans="1:35" s="803" customFormat="1" ht="12" x14ac:dyDescent="0.25">
      <c r="A75" s="785">
        <v>11.2</v>
      </c>
      <c r="B75" s="989" t="s">
        <v>249</v>
      </c>
      <c r="C75" s="829"/>
      <c r="D75" s="844"/>
      <c r="E75" s="829"/>
      <c r="F75" s="870"/>
      <c r="G75" s="876"/>
      <c r="H75" s="890"/>
      <c r="I75" s="891"/>
      <c r="J75" s="825"/>
      <c r="K75" s="847"/>
      <c r="L75" s="847"/>
      <c r="M75" s="831"/>
      <c r="N75" s="833"/>
      <c r="T75" s="800"/>
      <c r="U75" s="800"/>
      <c r="V75" s="800"/>
      <c r="W75" s="800"/>
      <c r="X75" s="800"/>
      <c r="Y75" s="800"/>
      <c r="Z75" s="800"/>
      <c r="AA75" s="800"/>
      <c r="AB75" s="800"/>
      <c r="AC75" s="800"/>
      <c r="AD75" s="800"/>
      <c r="AE75" s="800"/>
      <c r="AF75" s="800"/>
      <c r="AG75" s="800"/>
      <c r="AH75" s="800"/>
      <c r="AI75" s="800"/>
    </row>
    <row r="76" spans="1:35" s="803" customFormat="1" ht="23" x14ac:dyDescent="0.3">
      <c r="A76" s="784" t="s">
        <v>410</v>
      </c>
      <c r="B76" s="770" t="s">
        <v>286</v>
      </c>
      <c r="C76" s="829">
        <v>480</v>
      </c>
      <c r="D76" s="844" t="s">
        <v>27</v>
      </c>
      <c r="E76" s="829">
        <v>25</v>
      </c>
      <c r="F76" s="870">
        <f t="shared" si="2"/>
        <v>12000</v>
      </c>
      <c r="G76" s="876">
        <f>IF(F76="","",F76/$F$5)</f>
        <v>25</v>
      </c>
      <c r="H76" s="892"/>
      <c r="I76" s="891"/>
      <c r="J76" s="988" t="s">
        <v>592</v>
      </c>
      <c r="K76" s="847"/>
      <c r="L76" s="847"/>
      <c r="M76" s="831"/>
      <c r="N76" s="833"/>
      <c r="T76" s="800"/>
      <c r="U76" s="800"/>
      <c r="V76" s="800"/>
      <c r="W76" s="800"/>
      <c r="X76" s="800"/>
      <c r="Y76" s="800"/>
      <c r="Z76" s="800"/>
      <c r="AA76" s="800"/>
      <c r="AB76" s="800"/>
      <c r="AC76" s="800"/>
      <c r="AD76" s="800"/>
      <c r="AE76" s="800"/>
      <c r="AF76" s="800"/>
      <c r="AG76" s="800"/>
      <c r="AH76" s="800"/>
      <c r="AI76" s="800"/>
    </row>
    <row r="77" spans="1:35" s="803" customFormat="1" ht="12" x14ac:dyDescent="0.3">
      <c r="A77" s="784" t="s">
        <v>411</v>
      </c>
      <c r="B77" s="770" t="s">
        <v>178</v>
      </c>
      <c r="C77" s="829">
        <v>480</v>
      </c>
      <c r="D77" s="844" t="s">
        <v>27</v>
      </c>
      <c r="E77" s="829">
        <v>9</v>
      </c>
      <c r="F77" s="870">
        <f t="shared" si="2"/>
        <v>4320</v>
      </c>
      <c r="G77" s="876">
        <f t="shared" ref="G77:G106" si="3">IF(F77="","",F77/$F$5)</f>
        <v>9</v>
      </c>
      <c r="H77" s="877"/>
      <c r="I77" s="878"/>
      <c r="J77" s="825" t="s">
        <v>637</v>
      </c>
      <c r="K77" s="847"/>
      <c r="L77" s="847"/>
      <c r="M77" s="831"/>
      <c r="N77" s="833"/>
      <c r="T77" s="800"/>
      <c r="U77" s="800"/>
      <c r="V77" s="800"/>
      <c r="W77" s="800"/>
      <c r="X77" s="800"/>
      <c r="Y77" s="800"/>
      <c r="Z77" s="800"/>
      <c r="AA77" s="800"/>
      <c r="AB77" s="800"/>
      <c r="AC77" s="800"/>
      <c r="AD77" s="800"/>
      <c r="AE77" s="800"/>
      <c r="AF77" s="800"/>
      <c r="AG77" s="800"/>
      <c r="AH77" s="800"/>
      <c r="AI77" s="800"/>
    </row>
    <row r="78" spans="1:35" s="803" customFormat="1" ht="12" x14ac:dyDescent="0.3">
      <c r="A78" s="784" t="s">
        <v>412</v>
      </c>
      <c r="B78" s="770" t="s">
        <v>475</v>
      </c>
      <c r="C78" s="829">
        <v>480</v>
      </c>
      <c r="D78" s="844" t="s">
        <v>27</v>
      </c>
      <c r="E78" s="829">
        <v>5</v>
      </c>
      <c r="F78" s="870">
        <f t="shared" si="2"/>
        <v>2400</v>
      </c>
      <c r="G78" s="876">
        <f t="shared" si="3"/>
        <v>5</v>
      </c>
      <c r="H78" s="890"/>
      <c r="I78" s="891"/>
      <c r="J78" s="825" t="s">
        <v>593</v>
      </c>
      <c r="K78" s="847"/>
      <c r="L78" s="847"/>
      <c r="M78" s="831"/>
      <c r="N78" s="833"/>
      <c r="T78" s="800"/>
      <c r="U78" s="800"/>
      <c r="V78" s="800"/>
      <c r="W78" s="800"/>
      <c r="X78" s="800"/>
      <c r="Y78" s="800"/>
      <c r="Z78" s="800"/>
      <c r="AA78" s="800"/>
      <c r="AB78" s="800"/>
      <c r="AC78" s="800"/>
      <c r="AD78" s="800"/>
      <c r="AE78" s="800"/>
      <c r="AF78" s="800"/>
      <c r="AG78" s="800"/>
      <c r="AH78" s="800"/>
      <c r="AI78" s="800"/>
    </row>
    <row r="79" spans="1:35" s="803" customFormat="1" ht="12" x14ac:dyDescent="0.3">
      <c r="A79" s="784" t="s">
        <v>594</v>
      </c>
      <c r="B79" s="770" t="s">
        <v>174</v>
      </c>
      <c r="C79" s="829">
        <v>1</v>
      </c>
      <c r="D79" s="844" t="s">
        <v>158</v>
      </c>
      <c r="E79" s="829">
        <v>2500</v>
      </c>
      <c r="F79" s="870">
        <f t="shared" si="2"/>
        <v>2500</v>
      </c>
      <c r="G79" s="876">
        <f t="shared" si="3"/>
        <v>5.208333333333333</v>
      </c>
      <c r="H79" s="892"/>
      <c r="I79" s="891"/>
      <c r="J79" s="839" t="s">
        <v>595</v>
      </c>
      <c r="K79" s="847"/>
      <c r="L79" s="847"/>
      <c r="M79" s="831"/>
      <c r="N79" s="833"/>
      <c r="T79" s="800"/>
      <c r="U79" s="800"/>
      <c r="V79" s="800"/>
      <c r="W79" s="800"/>
      <c r="X79" s="800"/>
      <c r="Y79" s="800"/>
      <c r="Z79" s="800"/>
      <c r="AA79" s="800"/>
      <c r="AB79" s="800"/>
      <c r="AC79" s="800"/>
      <c r="AD79" s="800"/>
      <c r="AE79" s="800"/>
      <c r="AF79" s="800"/>
      <c r="AG79" s="800"/>
      <c r="AH79" s="800"/>
      <c r="AI79" s="800"/>
    </row>
    <row r="80" spans="1:35" s="803" customFormat="1" ht="12" x14ac:dyDescent="0.25">
      <c r="A80" s="785">
        <v>11.3</v>
      </c>
      <c r="B80" s="989" t="s">
        <v>250</v>
      </c>
      <c r="C80" s="829"/>
      <c r="D80" s="844"/>
      <c r="E80" s="829"/>
      <c r="F80" s="870"/>
      <c r="G80" s="876"/>
      <c r="H80" s="892"/>
      <c r="I80" s="891"/>
      <c r="J80" s="825"/>
      <c r="K80" s="847"/>
      <c r="L80" s="847"/>
      <c r="M80" s="831"/>
      <c r="N80" s="833"/>
      <c r="T80" s="800"/>
      <c r="U80" s="800"/>
      <c r="V80" s="800"/>
      <c r="W80" s="800"/>
      <c r="X80" s="800"/>
      <c r="Y80" s="800"/>
      <c r="Z80" s="800"/>
      <c r="AA80" s="800"/>
      <c r="AB80" s="800"/>
      <c r="AC80" s="800"/>
      <c r="AD80" s="800"/>
      <c r="AE80" s="800"/>
      <c r="AF80" s="800"/>
      <c r="AG80" s="800"/>
      <c r="AH80" s="800"/>
      <c r="AI80" s="800"/>
    </row>
    <row r="81" spans="1:35" s="803" customFormat="1" ht="12" x14ac:dyDescent="0.3">
      <c r="A81" s="784" t="s">
        <v>417</v>
      </c>
      <c r="B81" s="770" t="s">
        <v>596</v>
      </c>
      <c r="C81" s="829">
        <v>480</v>
      </c>
      <c r="D81" s="844" t="s">
        <v>158</v>
      </c>
      <c r="E81" s="829">
        <v>15</v>
      </c>
      <c r="F81" s="870">
        <f t="shared" si="2"/>
        <v>7200</v>
      </c>
      <c r="G81" s="876">
        <f t="shared" si="3"/>
        <v>15</v>
      </c>
      <c r="H81" s="892"/>
      <c r="I81" s="891"/>
      <c r="J81" s="825" t="s">
        <v>597</v>
      </c>
      <c r="K81" s="847"/>
      <c r="L81" s="847"/>
      <c r="M81" s="831"/>
      <c r="N81" s="833"/>
      <c r="T81" s="800"/>
      <c r="U81" s="800"/>
      <c r="V81" s="800"/>
      <c r="W81" s="800"/>
      <c r="X81" s="800"/>
      <c r="Y81" s="800"/>
      <c r="Z81" s="800"/>
      <c r="AA81" s="800"/>
      <c r="AB81" s="800"/>
      <c r="AC81" s="800"/>
      <c r="AD81" s="800"/>
      <c r="AE81" s="800"/>
      <c r="AF81" s="800"/>
      <c r="AG81" s="800"/>
      <c r="AH81" s="800"/>
      <c r="AI81" s="800"/>
    </row>
    <row r="82" spans="1:35" s="803" customFormat="1" ht="12" x14ac:dyDescent="0.25">
      <c r="A82" s="785">
        <v>1.4</v>
      </c>
      <c r="B82" s="989" t="s">
        <v>256</v>
      </c>
      <c r="C82" s="829"/>
      <c r="D82" s="844"/>
      <c r="E82" s="829"/>
      <c r="F82" s="870"/>
      <c r="G82" s="876"/>
      <c r="H82" s="892"/>
      <c r="I82" s="891"/>
      <c r="J82" s="825"/>
      <c r="K82" s="847"/>
      <c r="L82" s="847"/>
      <c r="M82" s="831"/>
      <c r="N82" s="833"/>
      <c r="T82" s="800"/>
      <c r="U82" s="800"/>
      <c r="V82" s="800"/>
      <c r="W82" s="800"/>
      <c r="X82" s="800"/>
      <c r="Y82" s="800"/>
      <c r="Z82" s="800"/>
      <c r="AA82" s="800"/>
      <c r="AB82" s="800"/>
      <c r="AC82" s="800"/>
      <c r="AD82" s="800"/>
      <c r="AE82" s="800"/>
      <c r="AF82" s="800"/>
      <c r="AG82" s="800"/>
      <c r="AH82" s="800"/>
      <c r="AI82" s="800"/>
    </row>
    <row r="83" spans="1:35" s="803" customFormat="1" ht="12" x14ac:dyDescent="0.3">
      <c r="A83" s="784" t="s">
        <v>423</v>
      </c>
      <c r="B83" s="770" t="s">
        <v>287</v>
      </c>
      <c r="C83" s="829">
        <v>1</v>
      </c>
      <c r="D83" s="844" t="s">
        <v>158</v>
      </c>
      <c r="E83" s="829">
        <v>25000</v>
      </c>
      <c r="F83" s="870">
        <f t="shared" si="2"/>
        <v>25000</v>
      </c>
      <c r="G83" s="876">
        <f t="shared" si="3"/>
        <v>52.083333333333336</v>
      </c>
      <c r="H83" s="892"/>
      <c r="I83" s="891"/>
      <c r="J83" s="825" t="s">
        <v>561</v>
      </c>
      <c r="K83" s="847"/>
      <c r="L83" s="847"/>
      <c r="M83" s="831"/>
      <c r="N83" s="833"/>
      <c r="T83" s="800"/>
      <c r="U83" s="800"/>
      <c r="V83" s="800"/>
      <c r="W83" s="800"/>
      <c r="X83" s="800"/>
      <c r="Y83" s="800"/>
      <c r="Z83" s="800"/>
      <c r="AA83" s="800"/>
      <c r="AB83" s="800"/>
      <c r="AC83" s="800"/>
      <c r="AD83" s="800"/>
      <c r="AE83" s="800"/>
      <c r="AF83" s="800"/>
      <c r="AG83" s="800"/>
      <c r="AH83" s="800"/>
      <c r="AI83" s="800"/>
    </row>
    <row r="84" spans="1:35" s="803" customFormat="1" ht="12" x14ac:dyDescent="0.3">
      <c r="A84" s="784" t="s">
        <v>445</v>
      </c>
      <c r="B84" s="770" t="s">
        <v>476</v>
      </c>
      <c r="C84" s="829">
        <v>480</v>
      </c>
      <c r="D84" s="844" t="s">
        <v>27</v>
      </c>
      <c r="E84" s="829">
        <v>50</v>
      </c>
      <c r="F84" s="870">
        <f t="shared" si="2"/>
        <v>24000</v>
      </c>
      <c r="G84" s="876">
        <f t="shared" si="3"/>
        <v>50</v>
      </c>
      <c r="H84" s="892"/>
      <c r="I84" s="891"/>
      <c r="J84" s="825"/>
      <c r="K84" s="847"/>
      <c r="L84" s="847"/>
      <c r="M84" s="831"/>
      <c r="N84" s="833"/>
      <c r="T84" s="800"/>
      <c r="U84" s="800"/>
      <c r="V84" s="800"/>
      <c r="W84" s="800"/>
      <c r="X84" s="800"/>
      <c r="Y84" s="800"/>
      <c r="Z84" s="800"/>
      <c r="AA84" s="800"/>
      <c r="AB84" s="800"/>
      <c r="AC84" s="800"/>
      <c r="AD84" s="800"/>
      <c r="AE84" s="800"/>
      <c r="AF84" s="800"/>
      <c r="AG84" s="800"/>
      <c r="AH84" s="800"/>
      <c r="AI84" s="800"/>
    </row>
    <row r="85" spans="1:35" s="803" customFormat="1" ht="12" x14ac:dyDescent="0.3">
      <c r="A85" s="784" t="s">
        <v>424</v>
      </c>
      <c r="B85" s="770" t="s">
        <v>477</v>
      </c>
      <c r="C85" s="829">
        <v>480</v>
      </c>
      <c r="D85" s="844" t="s">
        <v>27</v>
      </c>
      <c r="E85" s="829">
        <v>120</v>
      </c>
      <c r="F85" s="870">
        <f t="shared" si="2"/>
        <v>57600</v>
      </c>
      <c r="G85" s="876">
        <f t="shared" si="3"/>
        <v>120</v>
      </c>
      <c r="H85" s="892"/>
      <c r="I85" s="891"/>
      <c r="J85" s="825" t="s">
        <v>598</v>
      </c>
      <c r="K85" s="847"/>
      <c r="L85" s="847"/>
      <c r="M85" s="831"/>
      <c r="N85" s="833"/>
      <c r="T85" s="800"/>
      <c r="U85" s="800"/>
      <c r="V85" s="800"/>
      <c r="W85" s="800"/>
      <c r="X85" s="800"/>
      <c r="Y85" s="800"/>
      <c r="Z85" s="800"/>
      <c r="AA85" s="800"/>
      <c r="AB85" s="800"/>
      <c r="AC85" s="800"/>
      <c r="AD85" s="800"/>
      <c r="AE85" s="800"/>
      <c r="AF85" s="800"/>
      <c r="AG85" s="800"/>
      <c r="AH85" s="800"/>
      <c r="AI85" s="800"/>
    </row>
    <row r="86" spans="1:35" s="803" customFormat="1" ht="12" x14ac:dyDescent="0.25">
      <c r="A86" s="785">
        <v>11.5</v>
      </c>
      <c r="B86" s="989" t="s">
        <v>260</v>
      </c>
      <c r="C86" s="829"/>
      <c r="D86" s="844"/>
      <c r="E86" s="829"/>
      <c r="F86" s="870"/>
      <c r="G86" s="876"/>
      <c r="H86" s="892"/>
      <c r="I86" s="891"/>
      <c r="J86" s="825"/>
      <c r="K86" s="847"/>
      <c r="L86" s="847"/>
      <c r="M86" s="831"/>
      <c r="N86" s="833"/>
      <c r="T86" s="800"/>
      <c r="U86" s="800"/>
      <c r="V86" s="800"/>
      <c r="W86" s="800"/>
      <c r="X86" s="800"/>
      <c r="Y86" s="800"/>
      <c r="Z86" s="800"/>
      <c r="AA86" s="800"/>
      <c r="AB86" s="800"/>
      <c r="AC86" s="800"/>
      <c r="AD86" s="800"/>
      <c r="AE86" s="800"/>
      <c r="AF86" s="800"/>
      <c r="AG86" s="800"/>
      <c r="AH86" s="800"/>
      <c r="AI86" s="800"/>
    </row>
    <row r="87" spans="1:35" s="803" customFormat="1" ht="34.5" x14ac:dyDescent="0.3">
      <c r="A87" s="784" t="s">
        <v>432</v>
      </c>
      <c r="B87" s="770" t="s">
        <v>188</v>
      </c>
      <c r="C87" s="829">
        <v>480</v>
      </c>
      <c r="D87" s="844" t="s">
        <v>27</v>
      </c>
      <c r="E87" s="829">
        <v>55</v>
      </c>
      <c r="F87" s="870">
        <f t="shared" si="2"/>
        <v>26400</v>
      </c>
      <c r="G87" s="876">
        <f t="shared" si="3"/>
        <v>55</v>
      </c>
      <c r="H87" s="892"/>
      <c r="I87" s="891"/>
      <c r="J87" s="988" t="s">
        <v>638</v>
      </c>
      <c r="K87" s="847"/>
      <c r="L87" s="847"/>
      <c r="M87" s="831"/>
      <c r="N87" s="833"/>
      <c r="T87" s="800"/>
      <c r="U87" s="800"/>
      <c r="V87" s="800"/>
      <c r="W87" s="800"/>
      <c r="X87" s="800"/>
      <c r="Y87" s="800"/>
      <c r="Z87" s="800"/>
      <c r="AA87" s="800"/>
      <c r="AB87" s="800"/>
      <c r="AC87" s="800"/>
      <c r="AD87" s="800"/>
      <c r="AE87" s="800"/>
      <c r="AF87" s="800"/>
      <c r="AG87" s="800"/>
      <c r="AH87" s="800"/>
      <c r="AI87" s="800"/>
    </row>
    <row r="88" spans="1:35" s="803" customFormat="1" ht="12" x14ac:dyDescent="0.3">
      <c r="A88" s="784" t="s">
        <v>599</v>
      </c>
      <c r="B88" s="770" t="s">
        <v>189</v>
      </c>
      <c r="C88" s="829">
        <v>480</v>
      </c>
      <c r="D88" s="844" t="s">
        <v>27</v>
      </c>
      <c r="E88" s="829">
        <v>5</v>
      </c>
      <c r="F88" s="870">
        <f t="shared" si="2"/>
        <v>2400</v>
      </c>
      <c r="G88" s="876">
        <f t="shared" si="3"/>
        <v>5</v>
      </c>
      <c r="H88" s="892"/>
      <c r="I88" s="891"/>
      <c r="J88" s="825"/>
      <c r="K88" s="847"/>
      <c r="L88" s="847"/>
      <c r="M88" s="831"/>
      <c r="N88" s="833"/>
      <c r="T88" s="800"/>
      <c r="U88" s="800"/>
      <c r="V88" s="800"/>
      <c r="W88" s="800"/>
      <c r="X88" s="800"/>
      <c r="Y88" s="800"/>
      <c r="Z88" s="800"/>
      <c r="AA88" s="800"/>
      <c r="AB88" s="800"/>
      <c r="AC88" s="800"/>
      <c r="AD88" s="800"/>
      <c r="AE88" s="800"/>
      <c r="AF88" s="800"/>
      <c r="AG88" s="800"/>
      <c r="AH88" s="800"/>
      <c r="AI88" s="800"/>
    </row>
    <row r="89" spans="1:35" s="803" customFormat="1" ht="12" x14ac:dyDescent="0.3">
      <c r="A89" s="784" t="s">
        <v>600</v>
      </c>
      <c r="B89" s="770" t="s">
        <v>190</v>
      </c>
      <c r="C89" s="829">
        <v>480</v>
      </c>
      <c r="D89" s="844" t="s">
        <v>27</v>
      </c>
      <c r="E89" s="829">
        <v>10</v>
      </c>
      <c r="F89" s="870">
        <f t="shared" si="2"/>
        <v>4800</v>
      </c>
      <c r="G89" s="876">
        <f t="shared" si="3"/>
        <v>10</v>
      </c>
      <c r="H89" s="892"/>
      <c r="I89" s="891"/>
      <c r="J89" s="825"/>
      <c r="K89" s="847"/>
      <c r="L89" s="847"/>
      <c r="M89" s="831"/>
      <c r="N89" s="833"/>
      <c r="T89" s="800"/>
      <c r="U89" s="800"/>
      <c r="V89" s="800"/>
      <c r="W89" s="800"/>
      <c r="X89" s="800"/>
      <c r="Y89" s="800"/>
      <c r="Z89" s="800"/>
      <c r="AA89" s="800"/>
      <c r="AB89" s="800"/>
      <c r="AC89" s="800"/>
      <c r="AD89" s="800"/>
      <c r="AE89" s="800"/>
      <c r="AF89" s="800"/>
      <c r="AG89" s="800"/>
      <c r="AH89" s="800"/>
      <c r="AI89" s="800"/>
    </row>
    <row r="90" spans="1:35" s="803" customFormat="1" ht="12" x14ac:dyDescent="0.3">
      <c r="A90" s="784" t="s">
        <v>601</v>
      </c>
      <c r="B90" s="770" t="s">
        <v>488</v>
      </c>
      <c r="C90" s="829">
        <v>480</v>
      </c>
      <c r="D90" s="844" t="s">
        <v>27</v>
      </c>
      <c r="E90" s="829">
        <v>30</v>
      </c>
      <c r="F90" s="870">
        <f t="shared" si="2"/>
        <v>14400</v>
      </c>
      <c r="G90" s="876">
        <f t="shared" si="3"/>
        <v>30</v>
      </c>
      <c r="H90" s="892"/>
      <c r="I90" s="891"/>
      <c r="J90" s="825"/>
      <c r="K90" s="847"/>
      <c r="L90" s="847"/>
      <c r="M90" s="831"/>
      <c r="N90" s="833"/>
      <c r="T90" s="800"/>
      <c r="U90" s="800"/>
      <c r="V90" s="800"/>
      <c r="W90" s="800"/>
      <c r="X90" s="800"/>
      <c r="Y90" s="800"/>
      <c r="Z90" s="800"/>
      <c r="AA90" s="800"/>
      <c r="AB90" s="800"/>
      <c r="AC90" s="800"/>
      <c r="AD90" s="800"/>
      <c r="AE90" s="800"/>
      <c r="AF90" s="800"/>
      <c r="AG90" s="800"/>
      <c r="AH90" s="800"/>
      <c r="AI90" s="800"/>
    </row>
    <row r="91" spans="1:35" s="803" customFormat="1" ht="12" x14ac:dyDescent="0.3">
      <c r="A91" s="784" t="s">
        <v>602</v>
      </c>
      <c r="B91" s="770" t="s">
        <v>478</v>
      </c>
      <c r="C91" s="829">
        <v>1</v>
      </c>
      <c r="D91" s="844" t="s">
        <v>158</v>
      </c>
      <c r="E91" s="829">
        <v>6000</v>
      </c>
      <c r="F91" s="870">
        <f t="shared" si="2"/>
        <v>6000</v>
      </c>
      <c r="G91" s="876">
        <f t="shared" si="3"/>
        <v>12.5</v>
      </c>
      <c r="H91" s="892"/>
      <c r="I91" s="891"/>
      <c r="J91" s="825"/>
      <c r="K91" s="847"/>
      <c r="L91" s="847"/>
      <c r="M91" s="831"/>
      <c r="N91" s="833"/>
      <c r="T91" s="800"/>
      <c r="U91" s="800"/>
      <c r="V91" s="800"/>
      <c r="W91" s="800"/>
      <c r="X91" s="800"/>
      <c r="Y91" s="800"/>
      <c r="Z91" s="800"/>
      <c r="AA91" s="800"/>
      <c r="AB91" s="800"/>
      <c r="AC91" s="800"/>
      <c r="AD91" s="800"/>
      <c r="AE91" s="800"/>
      <c r="AF91" s="800"/>
      <c r="AG91" s="800"/>
      <c r="AH91" s="800"/>
      <c r="AI91" s="800"/>
    </row>
    <row r="92" spans="1:35" s="803" customFormat="1" ht="12" x14ac:dyDescent="0.25">
      <c r="A92" s="785">
        <v>11.6</v>
      </c>
      <c r="B92" s="989" t="s">
        <v>272</v>
      </c>
      <c r="C92" s="829"/>
      <c r="D92" s="844"/>
      <c r="E92" s="829"/>
      <c r="F92" s="870"/>
      <c r="G92" s="876"/>
      <c r="H92" s="892"/>
      <c r="I92" s="891"/>
      <c r="J92" s="825"/>
      <c r="K92" s="847"/>
      <c r="L92" s="847"/>
      <c r="M92" s="831"/>
      <c r="N92" s="833"/>
      <c r="T92" s="800"/>
      <c r="U92" s="800"/>
      <c r="V92" s="800"/>
      <c r="W92" s="800"/>
      <c r="X92" s="800"/>
      <c r="Y92" s="800"/>
      <c r="Z92" s="800"/>
      <c r="AA92" s="800"/>
      <c r="AB92" s="800"/>
      <c r="AC92" s="800"/>
      <c r="AD92" s="800"/>
      <c r="AE92" s="800"/>
      <c r="AF92" s="800"/>
      <c r="AG92" s="800"/>
      <c r="AH92" s="800"/>
      <c r="AI92" s="800"/>
    </row>
    <row r="93" spans="1:35" s="803" customFormat="1" ht="12" x14ac:dyDescent="0.3">
      <c r="A93" s="784" t="s">
        <v>479</v>
      </c>
      <c r="B93" s="770" t="s">
        <v>555</v>
      </c>
      <c r="C93" s="829">
        <v>0</v>
      </c>
      <c r="D93" s="840" t="s">
        <v>158</v>
      </c>
      <c r="E93" s="829">
        <v>0</v>
      </c>
      <c r="F93" s="870">
        <v>0</v>
      </c>
      <c r="G93" s="876">
        <v>0</v>
      </c>
      <c r="H93" s="874"/>
      <c r="I93" s="873"/>
      <c r="J93" s="825" t="s">
        <v>156</v>
      </c>
      <c r="K93" s="847"/>
      <c r="L93" s="847"/>
      <c r="M93" s="831"/>
      <c r="N93" s="833"/>
      <c r="T93" s="800"/>
      <c r="U93" s="800"/>
      <c r="V93" s="800"/>
      <c r="W93" s="800"/>
      <c r="X93" s="800"/>
      <c r="Y93" s="800"/>
      <c r="Z93" s="800"/>
      <c r="AA93" s="800"/>
      <c r="AB93" s="800"/>
      <c r="AC93" s="800"/>
      <c r="AD93" s="800"/>
      <c r="AE93" s="800"/>
      <c r="AF93" s="800"/>
      <c r="AG93" s="800"/>
      <c r="AH93" s="800"/>
      <c r="AI93" s="800"/>
    </row>
    <row r="94" spans="1:35" s="803" customFormat="1" ht="12" x14ac:dyDescent="0.25">
      <c r="A94" s="785">
        <v>11.7</v>
      </c>
      <c r="B94" s="989" t="s">
        <v>81</v>
      </c>
      <c r="C94" s="829"/>
      <c r="D94" s="844"/>
      <c r="E94" s="829"/>
      <c r="F94" s="870"/>
      <c r="G94" s="876"/>
      <c r="H94" s="892"/>
      <c r="I94" s="891"/>
      <c r="J94" s="825"/>
      <c r="K94" s="847"/>
      <c r="L94" s="847"/>
      <c r="M94" s="831"/>
      <c r="N94" s="833"/>
      <c r="T94" s="800"/>
      <c r="U94" s="800"/>
      <c r="V94" s="800"/>
      <c r="W94" s="800"/>
      <c r="X94" s="800"/>
      <c r="Y94" s="800"/>
      <c r="Z94" s="800"/>
      <c r="AA94" s="800"/>
      <c r="AB94" s="800"/>
      <c r="AC94" s="800"/>
      <c r="AD94" s="800"/>
      <c r="AE94" s="800"/>
      <c r="AF94" s="800"/>
      <c r="AG94" s="800"/>
      <c r="AH94" s="800"/>
      <c r="AI94" s="800"/>
    </row>
    <row r="95" spans="1:35" s="803" customFormat="1" ht="12" x14ac:dyDescent="0.3">
      <c r="A95" s="784" t="s">
        <v>433</v>
      </c>
      <c r="B95" s="770" t="s">
        <v>555</v>
      </c>
      <c r="C95" s="829">
        <v>0</v>
      </c>
      <c r="D95" s="840" t="s">
        <v>158</v>
      </c>
      <c r="E95" s="829">
        <v>0</v>
      </c>
      <c r="F95" s="870">
        <v>0</v>
      </c>
      <c r="G95" s="876">
        <v>0</v>
      </c>
      <c r="H95" s="874"/>
      <c r="I95" s="873"/>
      <c r="J95" s="825" t="s">
        <v>156</v>
      </c>
      <c r="K95" s="847"/>
      <c r="L95" s="847"/>
      <c r="M95" s="831"/>
      <c r="N95" s="833"/>
      <c r="T95" s="800"/>
      <c r="U95" s="800"/>
      <c r="V95" s="800"/>
      <c r="W95" s="800"/>
      <c r="X95" s="800"/>
      <c r="Y95" s="800"/>
      <c r="Z95" s="800"/>
      <c r="AA95" s="800"/>
      <c r="AB95" s="800"/>
      <c r="AC95" s="800"/>
      <c r="AD95" s="800"/>
      <c r="AE95" s="800"/>
      <c r="AF95" s="800"/>
      <c r="AG95" s="800"/>
      <c r="AH95" s="800"/>
      <c r="AI95" s="800"/>
    </row>
    <row r="96" spans="1:35" s="803" customFormat="1" ht="12" x14ac:dyDescent="0.25">
      <c r="A96" s="785">
        <v>11.8</v>
      </c>
      <c r="B96" s="989" t="s">
        <v>274</v>
      </c>
      <c r="C96" s="829"/>
      <c r="D96" s="844"/>
      <c r="E96" s="829"/>
      <c r="F96" s="870"/>
      <c r="G96" s="876"/>
      <c r="H96" s="892"/>
      <c r="I96" s="891"/>
      <c r="J96" s="825"/>
      <c r="K96" s="847"/>
      <c r="L96" s="847"/>
      <c r="M96" s="831"/>
      <c r="N96" s="833"/>
      <c r="T96" s="800"/>
      <c r="U96" s="800"/>
      <c r="V96" s="800"/>
      <c r="W96" s="800"/>
      <c r="X96" s="800"/>
      <c r="Y96" s="800"/>
      <c r="Z96" s="800"/>
      <c r="AA96" s="800"/>
      <c r="AB96" s="800"/>
      <c r="AC96" s="800"/>
      <c r="AD96" s="800"/>
      <c r="AE96" s="800"/>
      <c r="AF96" s="800"/>
      <c r="AG96" s="800"/>
      <c r="AH96" s="800"/>
      <c r="AI96" s="800"/>
    </row>
    <row r="97" spans="1:35" s="803" customFormat="1" ht="12" x14ac:dyDescent="0.3">
      <c r="A97" s="784" t="s">
        <v>414</v>
      </c>
      <c r="B97" s="770" t="s">
        <v>480</v>
      </c>
      <c r="C97" s="829">
        <v>480</v>
      </c>
      <c r="D97" s="844" t="s">
        <v>27</v>
      </c>
      <c r="E97" s="829">
        <v>15</v>
      </c>
      <c r="F97" s="870">
        <f t="shared" si="2"/>
        <v>7200</v>
      </c>
      <c r="G97" s="876">
        <f t="shared" si="3"/>
        <v>15</v>
      </c>
      <c r="H97" s="892"/>
      <c r="I97" s="891"/>
      <c r="J97" s="825"/>
      <c r="K97" s="847"/>
      <c r="L97" s="847"/>
      <c r="M97" s="831"/>
      <c r="N97" s="833"/>
      <c r="T97" s="800"/>
      <c r="U97" s="800"/>
      <c r="V97" s="800"/>
      <c r="W97" s="800"/>
      <c r="X97" s="800"/>
      <c r="Y97" s="800"/>
      <c r="Z97" s="800"/>
      <c r="AA97" s="800"/>
      <c r="AB97" s="800"/>
      <c r="AC97" s="800"/>
      <c r="AD97" s="800"/>
      <c r="AE97" s="800"/>
      <c r="AF97" s="800"/>
      <c r="AG97" s="800"/>
      <c r="AH97" s="800"/>
      <c r="AI97" s="800"/>
    </row>
    <row r="98" spans="1:35" s="803" customFormat="1" ht="23" x14ac:dyDescent="0.3">
      <c r="A98" s="784" t="s">
        <v>415</v>
      </c>
      <c r="B98" s="770" t="s">
        <v>489</v>
      </c>
      <c r="C98" s="829">
        <v>1</v>
      </c>
      <c r="D98" s="844" t="s">
        <v>27</v>
      </c>
      <c r="E98" s="829">
        <v>10000</v>
      </c>
      <c r="F98" s="870">
        <f t="shared" si="2"/>
        <v>10000</v>
      </c>
      <c r="G98" s="876">
        <f t="shared" si="3"/>
        <v>20.833333333333332</v>
      </c>
      <c r="H98" s="892"/>
      <c r="I98" s="891"/>
      <c r="J98" s="988" t="s">
        <v>612</v>
      </c>
      <c r="K98" s="847"/>
      <c r="L98" s="847"/>
      <c r="M98" s="831"/>
      <c r="N98" s="833"/>
      <c r="T98" s="800"/>
      <c r="U98" s="800"/>
      <c r="V98" s="800"/>
      <c r="W98" s="800"/>
      <c r="X98" s="800"/>
      <c r="Y98" s="800"/>
      <c r="Z98" s="800"/>
      <c r="AA98" s="800"/>
      <c r="AB98" s="800"/>
      <c r="AC98" s="800"/>
      <c r="AD98" s="800"/>
      <c r="AE98" s="800"/>
      <c r="AF98" s="800"/>
      <c r="AG98" s="800"/>
      <c r="AH98" s="800"/>
      <c r="AI98" s="800"/>
    </row>
    <row r="99" spans="1:35" s="803" customFormat="1" ht="12" x14ac:dyDescent="0.3">
      <c r="A99" s="784" t="s">
        <v>416</v>
      </c>
      <c r="B99" s="770" t="s">
        <v>556</v>
      </c>
      <c r="C99" s="829">
        <v>480</v>
      </c>
      <c r="D99" s="844" t="s">
        <v>158</v>
      </c>
      <c r="E99" s="829">
        <v>5</v>
      </c>
      <c r="F99" s="870">
        <f t="shared" si="2"/>
        <v>2400</v>
      </c>
      <c r="G99" s="876">
        <f t="shared" si="3"/>
        <v>5</v>
      </c>
      <c r="H99" s="892"/>
      <c r="I99" s="891"/>
      <c r="J99" s="825"/>
      <c r="K99" s="847"/>
      <c r="L99" s="847"/>
      <c r="M99" s="831"/>
      <c r="N99" s="833"/>
      <c r="T99" s="800"/>
      <c r="U99" s="800"/>
      <c r="V99" s="800"/>
      <c r="W99" s="800"/>
      <c r="X99" s="800"/>
      <c r="Y99" s="800"/>
      <c r="Z99" s="800"/>
      <c r="AA99" s="800"/>
      <c r="AB99" s="800"/>
      <c r="AC99" s="800"/>
      <c r="AD99" s="800"/>
      <c r="AE99" s="800"/>
      <c r="AF99" s="800"/>
      <c r="AG99" s="800"/>
      <c r="AH99" s="800"/>
      <c r="AI99" s="800"/>
    </row>
    <row r="100" spans="1:35" s="803" customFormat="1" ht="12" x14ac:dyDescent="0.25">
      <c r="A100" s="785">
        <v>11.9</v>
      </c>
      <c r="B100" s="989" t="s">
        <v>279</v>
      </c>
      <c r="C100" s="829"/>
      <c r="D100" s="844"/>
      <c r="E100" s="829"/>
      <c r="F100" s="870"/>
      <c r="G100" s="876"/>
      <c r="H100" s="892"/>
      <c r="I100" s="891"/>
      <c r="J100" s="825"/>
      <c r="K100" s="847"/>
      <c r="L100" s="847"/>
      <c r="M100" s="831"/>
      <c r="N100" s="833"/>
      <c r="T100" s="800"/>
      <c r="U100" s="800"/>
      <c r="V100" s="800"/>
      <c r="W100" s="800"/>
      <c r="X100" s="800"/>
      <c r="Y100" s="800"/>
      <c r="Z100" s="800"/>
      <c r="AA100" s="800"/>
      <c r="AB100" s="800"/>
      <c r="AC100" s="800"/>
      <c r="AD100" s="800"/>
      <c r="AE100" s="800"/>
      <c r="AF100" s="800"/>
      <c r="AG100" s="800"/>
      <c r="AH100" s="800"/>
      <c r="AI100" s="800"/>
    </row>
    <row r="101" spans="1:35" s="803" customFormat="1" ht="12" x14ac:dyDescent="0.3">
      <c r="A101" s="784" t="s">
        <v>413</v>
      </c>
      <c r="B101" s="770" t="s">
        <v>481</v>
      </c>
      <c r="C101" s="829">
        <v>480</v>
      </c>
      <c r="D101" s="844" t="s">
        <v>158</v>
      </c>
      <c r="E101" s="829">
        <v>20</v>
      </c>
      <c r="F101" s="870">
        <f t="shared" si="2"/>
        <v>9600</v>
      </c>
      <c r="G101" s="876">
        <f t="shared" si="3"/>
        <v>20</v>
      </c>
      <c r="H101" s="892"/>
      <c r="I101" s="891"/>
      <c r="J101" s="839"/>
      <c r="K101" s="847"/>
      <c r="L101" s="847"/>
      <c r="M101" s="831"/>
      <c r="N101" s="833"/>
      <c r="T101" s="800"/>
      <c r="U101" s="800"/>
      <c r="V101" s="800"/>
      <c r="W101" s="800"/>
      <c r="X101" s="800"/>
      <c r="Y101" s="800"/>
      <c r="Z101" s="800"/>
      <c r="AA101" s="800"/>
      <c r="AB101" s="800"/>
      <c r="AC101" s="800"/>
      <c r="AD101" s="800"/>
      <c r="AE101" s="800"/>
      <c r="AF101" s="800"/>
      <c r="AG101" s="800"/>
      <c r="AH101" s="800"/>
      <c r="AI101" s="800"/>
    </row>
    <row r="102" spans="1:35" s="803" customFormat="1" ht="23" x14ac:dyDescent="0.3">
      <c r="A102" s="784" t="s">
        <v>603</v>
      </c>
      <c r="B102" s="770" t="s">
        <v>604</v>
      </c>
      <c r="C102" s="829">
        <v>1</v>
      </c>
      <c r="D102" s="844" t="s">
        <v>158</v>
      </c>
      <c r="E102" s="829">
        <v>30000</v>
      </c>
      <c r="F102" s="870">
        <f t="shared" si="2"/>
        <v>30000</v>
      </c>
      <c r="G102" s="876">
        <f t="shared" si="3"/>
        <v>62.5</v>
      </c>
      <c r="H102" s="892"/>
      <c r="I102" s="891"/>
      <c r="J102" s="988" t="s">
        <v>605</v>
      </c>
      <c r="K102" s="847"/>
      <c r="L102" s="847"/>
      <c r="M102" s="831"/>
      <c r="N102" s="833"/>
      <c r="T102" s="800"/>
      <c r="U102" s="800"/>
      <c r="V102" s="800"/>
      <c r="W102" s="800"/>
      <c r="X102" s="800"/>
      <c r="Y102" s="800"/>
      <c r="Z102" s="800"/>
      <c r="AA102" s="800"/>
      <c r="AB102" s="800"/>
      <c r="AC102" s="800"/>
      <c r="AD102" s="800"/>
      <c r="AE102" s="800"/>
      <c r="AF102" s="800"/>
      <c r="AG102" s="800"/>
      <c r="AH102" s="800"/>
      <c r="AI102" s="800"/>
    </row>
    <row r="103" spans="1:35" s="803" customFormat="1" ht="12" x14ac:dyDescent="0.3">
      <c r="A103" s="784" t="s">
        <v>606</v>
      </c>
      <c r="B103" s="770" t="s">
        <v>204</v>
      </c>
      <c r="C103" s="829">
        <v>480</v>
      </c>
      <c r="D103" s="844" t="s">
        <v>27</v>
      </c>
      <c r="E103" s="829">
        <v>15</v>
      </c>
      <c r="F103" s="870">
        <f t="shared" si="2"/>
        <v>7200</v>
      </c>
      <c r="G103" s="876">
        <f t="shared" si="3"/>
        <v>15</v>
      </c>
      <c r="H103" s="877"/>
      <c r="I103" s="878"/>
      <c r="J103" s="825" t="s">
        <v>607</v>
      </c>
      <c r="K103" s="847"/>
      <c r="L103" s="847"/>
      <c r="M103" s="831"/>
      <c r="N103" s="833"/>
      <c r="T103" s="800"/>
      <c r="U103" s="800"/>
      <c r="V103" s="800"/>
      <c r="W103" s="800"/>
      <c r="X103" s="800"/>
      <c r="Y103" s="800"/>
      <c r="Z103" s="800"/>
      <c r="AA103" s="800"/>
      <c r="AB103" s="800"/>
      <c r="AC103" s="800"/>
      <c r="AD103" s="800"/>
      <c r="AE103" s="800"/>
      <c r="AF103" s="800"/>
      <c r="AG103" s="800"/>
      <c r="AH103" s="800"/>
      <c r="AI103" s="800"/>
    </row>
    <row r="104" spans="1:35" s="803" customFormat="1" ht="12" x14ac:dyDescent="0.3">
      <c r="A104" s="784"/>
      <c r="B104" s="770" t="s">
        <v>608</v>
      </c>
      <c r="C104" s="829">
        <v>480</v>
      </c>
      <c r="D104" s="844" t="s">
        <v>27</v>
      </c>
      <c r="E104" s="829">
        <v>15</v>
      </c>
      <c r="F104" s="870">
        <f t="shared" si="2"/>
        <v>7200</v>
      </c>
      <c r="G104" s="876">
        <f t="shared" si="3"/>
        <v>15</v>
      </c>
      <c r="H104" s="877"/>
      <c r="I104" s="878"/>
      <c r="J104" s="825" t="s">
        <v>609</v>
      </c>
      <c r="K104" s="847"/>
      <c r="L104" s="847"/>
      <c r="M104" s="831"/>
      <c r="N104" s="833"/>
      <c r="T104" s="800"/>
      <c r="U104" s="800"/>
      <c r="V104" s="800"/>
      <c r="W104" s="800"/>
      <c r="X104" s="800"/>
      <c r="Y104" s="800"/>
      <c r="Z104" s="800"/>
      <c r="AA104" s="800"/>
      <c r="AB104" s="800"/>
      <c r="AC104" s="800"/>
      <c r="AD104" s="800"/>
      <c r="AE104" s="800"/>
      <c r="AF104" s="800"/>
      <c r="AG104" s="800"/>
      <c r="AH104" s="800"/>
      <c r="AI104" s="800"/>
    </row>
    <row r="105" spans="1:35" s="803" customFormat="1" ht="12" x14ac:dyDescent="0.25">
      <c r="A105" s="790">
        <v>11.1</v>
      </c>
      <c r="B105" s="989" t="s">
        <v>284</v>
      </c>
      <c r="C105" s="829"/>
      <c r="D105" s="844"/>
      <c r="E105" s="829"/>
      <c r="F105" s="870"/>
      <c r="G105" s="876"/>
      <c r="H105" s="877"/>
      <c r="I105" s="878"/>
      <c r="J105" s="825"/>
      <c r="K105" s="847"/>
      <c r="L105" s="847"/>
      <c r="M105" s="831"/>
      <c r="N105" s="833"/>
      <c r="T105" s="800"/>
      <c r="U105" s="800"/>
      <c r="V105" s="800"/>
      <c r="W105" s="800"/>
      <c r="X105" s="800"/>
      <c r="Y105" s="800"/>
      <c r="Z105" s="800"/>
      <c r="AA105" s="800"/>
      <c r="AB105" s="800"/>
      <c r="AC105" s="800"/>
      <c r="AD105" s="800"/>
      <c r="AE105" s="800"/>
      <c r="AF105" s="800"/>
      <c r="AG105" s="800"/>
      <c r="AH105" s="800"/>
      <c r="AI105" s="800"/>
    </row>
    <row r="106" spans="1:35" s="803" customFormat="1" ht="12" x14ac:dyDescent="0.3">
      <c r="A106" s="784" t="s">
        <v>610</v>
      </c>
      <c r="B106" s="770" t="s">
        <v>209</v>
      </c>
      <c r="C106" s="829">
        <v>480</v>
      </c>
      <c r="D106" s="844" t="s">
        <v>27</v>
      </c>
      <c r="E106" s="829">
        <v>25</v>
      </c>
      <c r="F106" s="870">
        <f t="shared" si="2"/>
        <v>12000</v>
      </c>
      <c r="G106" s="876">
        <f t="shared" si="3"/>
        <v>25</v>
      </c>
      <c r="H106" s="877"/>
      <c r="I106" s="878"/>
      <c r="J106" s="825"/>
      <c r="K106" s="847"/>
      <c r="L106" s="847"/>
      <c r="M106" s="831"/>
      <c r="N106" s="833"/>
      <c r="T106" s="800"/>
      <c r="U106" s="800"/>
      <c r="V106" s="800"/>
      <c r="W106" s="800"/>
      <c r="X106" s="800"/>
      <c r="Y106" s="800"/>
      <c r="Z106" s="800"/>
      <c r="AA106" s="800"/>
      <c r="AB106" s="800"/>
      <c r="AC106" s="800"/>
      <c r="AD106" s="800"/>
      <c r="AE106" s="800"/>
      <c r="AF106" s="800"/>
      <c r="AG106" s="800"/>
      <c r="AH106" s="800"/>
      <c r="AI106" s="800"/>
    </row>
    <row r="107" spans="1:35" s="803" customFormat="1" ht="12" x14ac:dyDescent="0.25">
      <c r="A107" s="790">
        <v>11.11</v>
      </c>
      <c r="B107" s="989" t="s">
        <v>211</v>
      </c>
      <c r="C107" s="829">
        <v>10</v>
      </c>
      <c r="D107" s="844" t="s">
        <v>59</v>
      </c>
      <c r="E107" s="829">
        <f>SUM(F70:F106)</f>
        <v>281720</v>
      </c>
      <c r="F107" s="870">
        <f>ROUND(C107*E107/100,0)</f>
        <v>28172</v>
      </c>
      <c r="G107" s="876">
        <f>IF(F107="","",F107/$F$5)</f>
        <v>58.69166666666667</v>
      </c>
      <c r="H107" s="877"/>
      <c r="I107" s="878"/>
      <c r="J107" s="825"/>
      <c r="K107" s="847"/>
      <c r="L107" s="847"/>
      <c r="M107" s="831"/>
      <c r="N107" s="833"/>
      <c r="T107" s="800"/>
      <c r="U107" s="800"/>
      <c r="V107" s="800"/>
      <c r="W107" s="800"/>
      <c r="X107" s="800"/>
      <c r="Y107" s="800"/>
      <c r="Z107" s="800"/>
      <c r="AA107" s="800"/>
      <c r="AB107" s="800"/>
      <c r="AC107" s="800"/>
      <c r="AD107" s="800"/>
      <c r="AE107" s="800"/>
      <c r="AF107" s="800"/>
      <c r="AG107" s="800"/>
      <c r="AH107" s="800"/>
      <c r="AI107" s="800"/>
    </row>
    <row r="108" spans="1:35" s="803" customFormat="1" ht="11.5" x14ac:dyDescent="0.3">
      <c r="A108" s="784"/>
      <c r="B108" s="770"/>
      <c r="C108" s="829"/>
      <c r="D108" s="844"/>
      <c r="E108" s="829"/>
      <c r="F108" s="874"/>
      <c r="G108" s="875"/>
      <c r="H108" s="874"/>
      <c r="I108" s="873"/>
      <c r="J108" s="825"/>
      <c r="K108" s="836"/>
      <c r="L108" s="836"/>
      <c r="M108" s="837"/>
      <c r="N108" s="833"/>
      <c r="O108" s="833"/>
      <c r="T108" s="800"/>
      <c r="U108" s="800"/>
      <c r="V108" s="800"/>
      <c r="W108" s="800"/>
      <c r="X108" s="800"/>
      <c r="Y108" s="800"/>
      <c r="Z108" s="800"/>
      <c r="AA108" s="800"/>
      <c r="AB108" s="800"/>
      <c r="AC108" s="800"/>
      <c r="AD108" s="800"/>
      <c r="AE108" s="800"/>
      <c r="AF108" s="800"/>
      <c r="AG108" s="800"/>
      <c r="AH108" s="800"/>
      <c r="AI108" s="800"/>
    </row>
    <row r="109" spans="1:35" s="803" customFormat="1" ht="11.5" x14ac:dyDescent="0.3">
      <c r="A109" s="783">
        <v>12</v>
      </c>
      <c r="B109" s="774" t="s">
        <v>617</v>
      </c>
      <c r="C109" s="829"/>
      <c r="D109" s="844"/>
      <c r="E109" s="829"/>
      <c r="F109" s="874">
        <f>ROUND(SUBTOTAL(9,F110:F110),-3)</f>
        <v>208000</v>
      </c>
      <c r="G109" s="875">
        <f>IF(F109="","",F109/$F$5)</f>
        <v>433.33333333333331</v>
      </c>
      <c r="H109" s="874">
        <f>982*398</f>
        <v>390836</v>
      </c>
      <c r="I109" s="873">
        <f>F109-H109</f>
        <v>-182836</v>
      </c>
      <c r="J109" s="830" t="s">
        <v>558</v>
      </c>
      <c r="K109" s="836"/>
      <c r="L109" s="836"/>
      <c r="M109" s="837"/>
      <c r="N109" s="833"/>
      <c r="O109" s="833"/>
      <c r="T109" s="800"/>
      <c r="U109" s="800"/>
      <c r="V109" s="800"/>
      <c r="W109" s="800"/>
      <c r="X109" s="800"/>
      <c r="Y109" s="800"/>
      <c r="Z109" s="800"/>
      <c r="AA109" s="800"/>
      <c r="AB109" s="800"/>
      <c r="AC109" s="800"/>
      <c r="AD109" s="800"/>
      <c r="AE109" s="800"/>
      <c r="AF109" s="800"/>
      <c r="AG109" s="800"/>
      <c r="AH109" s="800"/>
      <c r="AI109" s="800"/>
    </row>
    <row r="110" spans="1:35" s="803" customFormat="1" ht="12" x14ac:dyDescent="0.3">
      <c r="A110" s="784">
        <v>12.1</v>
      </c>
      <c r="B110" s="965" t="s">
        <v>639</v>
      </c>
      <c r="C110" s="966">
        <f>245</f>
        <v>245</v>
      </c>
      <c r="D110" s="967" t="s">
        <v>27</v>
      </c>
      <c r="E110" s="966">
        <v>850</v>
      </c>
      <c r="F110" s="870">
        <f>C110*E110</f>
        <v>208250</v>
      </c>
      <c r="G110" s="876">
        <f>IF(F110="","",F110/$F$5)</f>
        <v>433.85416666666669</v>
      </c>
      <c r="H110" s="968"/>
      <c r="I110" s="969"/>
      <c r="J110" s="970" t="s">
        <v>566</v>
      </c>
      <c r="K110" s="836"/>
      <c r="L110" s="845" t="s">
        <v>618</v>
      </c>
      <c r="M110" s="837"/>
      <c r="N110" s="833"/>
      <c r="O110" s="833"/>
      <c r="T110" s="800"/>
      <c r="U110" s="800"/>
      <c r="V110" s="800"/>
      <c r="W110" s="800"/>
      <c r="X110" s="800"/>
      <c r="Y110" s="800"/>
      <c r="Z110" s="800"/>
      <c r="AA110" s="800"/>
      <c r="AB110" s="800"/>
      <c r="AC110" s="800"/>
      <c r="AD110" s="800"/>
      <c r="AE110" s="800"/>
      <c r="AF110" s="800"/>
      <c r="AG110" s="800"/>
      <c r="AH110" s="800"/>
      <c r="AI110" s="800"/>
    </row>
    <row r="111" spans="1:35" s="803" customFormat="1" ht="12" x14ac:dyDescent="0.3">
      <c r="A111" s="784"/>
      <c r="B111" s="965"/>
      <c r="C111" s="966"/>
      <c r="D111" s="967"/>
      <c r="E111" s="971"/>
      <c r="F111" s="971"/>
      <c r="G111" s="995"/>
      <c r="H111" s="968"/>
      <c r="I111" s="969"/>
      <c r="J111" s="970"/>
      <c r="K111" s="836"/>
      <c r="L111" s="836"/>
      <c r="M111" s="837"/>
      <c r="N111" s="833"/>
      <c r="O111" s="833"/>
      <c r="T111" s="800"/>
      <c r="U111" s="800"/>
      <c r="V111" s="800"/>
      <c r="W111" s="800"/>
      <c r="X111" s="800"/>
      <c r="Y111" s="800"/>
      <c r="Z111" s="800"/>
      <c r="AA111" s="800"/>
      <c r="AB111" s="800"/>
      <c r="AC111" s="800"/>
      <c r="AD111" s="800"/>
      <c r="AE111" s="800"/>
      <c r="AF111" s="800"/>
      <c r="AG111" s="800"/>
      <c r="AH111" s="800"/>
      <c r="AI111" s="800"/>
    </row>
    <row r="112" spans="1:35" s="803" customFormat="1" ht="11.5" x14ac:dyDescent="0.3">
      <c r="A112" s="788"/>
      <c r="B112" s="779" t="s">
        <v>581</v>
      </c>
      <c r="C112" s="763"/>
      <c r="D112" s="855"/>
      <c r="E112" s="856"/>
      <c r="F112" s="898" t="e">
        <f>F11+F17+F21+F27+F33+F36+F44+F49+F53+F65+F69</f>
        <v>#REF!</v>
      </c>
      <c r="G112" s="994" t="e">
        <f>IF(F112="","",F112/$F$5)</f>
        <v>#REF!</v>
      </c>
      <c r="H112" s="894" t="e">
        <f>H13+H19+H23+#REF!+#REF!+H29+H38+H46+H56+#REF!+#REF!+#REF!+H68+#REF!+#REF!+#REF!+#REF!+#REF!</f>
        <v>#REF!</v>
      </c>
      <c r="I112" s="895" t="e">
        <f>I13+I19+I23+#REF!+#REF!+I29+I38+I46+I56+#REF!+#REF!+#REF!+I68+#REF!+#REF!+#REF!+#REF!+#REF!</f>
        <v>#REF!</v>
      </c>
      <c r="J112" s="853" t="s">
        <v>583</v>
      </c>
      <c r="K112" s="836"/>
      <c r="L112" s="836"/>
      <c r="M112" s="837"/>
      <c r="N112" s="833"/>
      <c r="O112" s="833"/>
      <c r="T112" s="800"/>
      <c r="U112" s="800"/>
      <c r="V112" s="800"/>
      <c r="W112" s="800"/>
      <c r="X112" s="800"/>
      <c r="Y112" s="800"/>
      <c r="Z112" s="800"/>
      <c r="AA112" s="800"/>
      <c r="AB112" s="800"/>
      <c r="AC112" s="800"/>
      <c r="AD112" s="800"/>
      <c r="AE112" s="800"/>
      <c r="AF112" s="800"/>
      <c r="AG112" s="800"/>
      <c r="AH112" s="800"/>
      <c r="AI112" s="800"/>
    </row>
    <row r="113" spans="1:35" s="803" customFormat="1" ht="11.5" x14ac:dyDescent="0.3">
      <c r="A113" s="792"/>
      <c r="B113" s="780" t="s">
        <v>584</v>
      </c>
      <c r="C113" s="763"/>
      <c r="D113" s="855"/>
      <c r="E113" s="856"/>
      <c r="F113" s="898" t="e">
        <f>F112+F109</f>
        <v>#REF!</v>
      </c>
      <c r="G113" s="994" t="e">
        <f>IF(F113="","",F113/($F$5+F6))</f>
        <v>#REF!</v>
      </c>
      <c r="H113" s="899"/>
      <c r="I113" s="900"/>
      <c r="J113" s="985" t="s">
        <v>582</v>
      </c>
      <c r="K113" s="836"/>
      <c r="L113" s="836"/>
      <c r="M113" s="837"/>
      <c r="N113" s="833"/>
      <c r="O113" s="833"/>
      <c r="T113" s="800"/>
      <c r="U113" s="800"/>
      <c r="V113" s="800"/>
      <c r="W113" s="800"/>
      <c r="X113" s="800"/>
      <c r="Y113" s="800"/>
      <c r="Z113" s="800"/>
      <c r="AA113" s="800"/>
      <c r="AB113" s="800"/>
      <c r="AC113" s="800"/>
      <c r="AD113" s="800"/>
      <c r="AE113" s="800"/>
      <c r="AF113" s="800"/>
      <c r="AG113" s="800"/>
      <c r="AH113" s="800"/>
      <c r="AI113" s="800"/>
    </row>
    <row r="114" spans="1:35" s="803" customFormat="1" ht="11.5" x14ac:dyDescent="0.3">
      <c r="A114" s="784"/>
      <c r="B114" s="986"/>
      <c r="C114" s="829"/>
      <c r="D114" s="844"/>
      <c r="E114" s="829"/>
      <c r="F114" s="874"/>
      <c r="G114" s="993"/>
      <c r="H114" s="874"/>
      <c r="I114" s="873"/>
      <c r="J114" s="825"/>
      <c r="K114" s="836"/>
      <c r="L114" s="836"/>
      <c r="M114" s="837"/>
      <c r="N114" s="833"/>
      <c r="O114" s="833"/>
      <c r="T114" s="800"/>
      <c r="U114" s="800"/>
      <c r="V114" s="800"/>
      <c r="W114" s="800"/>
      <c r="X114" s="800"/>
      <c r="Y114" s="800"/>
      <c r="Z114" s="800"/>
      <c r="AA114" s="800"/>
      <c r="AB114" s="800"/>
      <c r="AC114" s="800"/>
      <c r="AD114" s="800"/>
      <c r="AE114" s="800"/>
      <c r="AF114" s="800"/>
      <c r="AG114" s="800"/>
      <c r="AH114" s="800"/>
      <c r="AI114" s="800"/>
    </row>
    <row r="115" spans="1:35" s="803" customFormat="1" ht="11.5" x14ac:dyDescent="0.3">
      <c r="A115" s="972"/>
      <c r="B115" s="983" t="s">
        <v>571</v>
      </c>
      <c r="C115" s="974"/>
      <c r="D115" s="974"/>
      <c r="E115" s="974"/>
      <c r="F115" s="975"/>
      <c r="G115" s="976"/>
      <c r="H115" s="977" t="str">
        <f>IF(G115="","",G115/#REF!)</f>
        <v/>
      </c>
      <c r="I115" s="978"/>
      <c r="J115" s="979"/>
      <c r="K115" s="836"/>
      <c r="L115" s="836"/>
      <c r="M115" s="837"/>
      <c r="N115" s="833"/>
      <c r="O115" s="833"/>
      <c r="T115" s="800"/>
      <c r="U115" s="800"/>
      <c r="V115" s="800"/>
      <c r="W115" s="800"/>
      <c r="X115" s="800"/>
      <c r="Y115" s="800"/>
      <c r="Z115" s="800"/>
      <c r="AA115" s="800"/>
      <c r="AB115" s="800"/>
      <c r="AC115" s="800"/>
      <c r="AD115" s="800"/>
      <c r="AE115" s="800"/>
      <c r="AF115" s="800"/>
      <c r="AG115" s="800"/>
      <c r="AH115" s="800"/>
      <c r="AI115" s="800"/>
    </row>
    <row r="116" spans="1:35" s="803" customFormat="1" ht="12" x14ac:dyDescent="0.3">
      <c r="A116" s="784"/>
      <c r="B116" s="965"/>
      <c r="C116" s="966"/>
      <c r="D116" s="967"/>
      <c r="E116" s="966"/>
      <c r="F116" s="971"/>
      <c r="G116" s="759"/>
      <c r="H116" s="968"/>
      <c r="I116" s="969"/>
      <c r="J116" s="970"/>
      <c r="K116" s="836"/>
      <c r="L116" s="836"/>
      <c r="M116" s="837"/>
      <c r="N116" s="833"/>
      <c r="O116" s="833"/>
      <c r="T116" s="800"/>
      <c r="U116" s="800"/>
      <c r="V116" s="800"/>
      <c r="W116" s="800"/>
      <c r="X116" s="800"/>
      <c r="Y116" s="800"/>
      <c r="Z116" s="800"/>
      <c r="AA116" s="800"/>
      <c r="AB116" s="800"/>
      <c r="AC116" s="800"/>
      <c r="AD116" s="800"/>
      <c r="AE116" s="800"/>
      <c r="AF116" s="800"/>
      <c r="AG116" s="800"/>
      <c r="AH116" s="800"/>
      <c r="AI116" s="800"/>
    </row>
    <row r="117" spans="1:35" s="803" customFormat="1" ht="11.5" x14ac:dyDescent="0.3">
      <c r="A117" s="783">
        <v>1</v>
      </c>
      <c r="B117" s="769" t="s">
        <v>557</v>
      </c>
      <c r="C117" s="827"/>
      <c r="D117" s="828"/>
      <c r="E117" s="829"/>
      <c r="F117" s="874" t="e">
        <f>ROUND(SUBTOTAL(9,F118:F120),-3)</f>
        <v>#REF!</v>
      </c>
      <c r="G117" s="875" t="e">
        <f>IF(F117="","",F117/$G$5)</f>
        <v>#REF!</v>
      </c>
      <c r="H117" s="874">
        <f>982*20</f>
        <v>19640</v>
      </c>
      <c r="I117" s="873" t="e">
        <f>F117-H117</f>
        <v>#REF!</v>
      </c>
      <c r="J117" s="830" t="s">
        <v>558</v>
      </c>
      <c r="K117" s="836"/>
      <c r="L117" s="836"/>
      <c r="M117" s="837"/>
      <c r="N117" s="833"/>
      <c r="O117" s="833"/>
      <c r="T117" s="800"/>
      <c r="U117" s="800"/>
      <c r="V117" s="800"/>
      <c r="W117" s="800"/>
      <c r="X117" s="800"/>
      <c r="Y117" s="800"/>
      <c r="Z117" s="800"/>
      <c r="AA117" s="800"/>
      <c r="AB117" s="800"/>
      <c r="AC117" s="800"/>
      <c r="AD117" s="800"/>
      <c r="AE117" s="800"/>
      <c r="AF117" s="800"/>
      <c r="AG117" s="800"/>
      <c r="AH117" s="800"/>
      <c r="AI117" s="800"/>
    </row>
    <row r="118" spans="1:35" s="803" customFormat="1" ht="23" x14ac:dyDescent="0.3">
      <c r="A118" s="784">
        <v>1.1000000000000001</v>
      </c>
      <c r="B118" s="770" t="s">
        <v>619</v>
      </c>
      <c r="C118" s="822" t="e">
        <f>C28</f>
        <v>#REF!</v>
      </c>
      <c r="D118" s="823" t="s">
        <v>27</v>
      </c>
      <c r="E118" s="829">
        <v>70</v>
      </c>
      <c r="F118" s="870" t="e">
        <f>C118*E118</f>
        <v>#REF!</v>
      </c>
      <c r="G118" s="876" t="e">
        <f>IF(F118="","",F118/$F$5)</f>
        <v>#REF!</v>
      </c>
      <c r="H118" s="877"/>
      <c r="I118" s="878"/>
      <c r="J118" s="830" t="s">
        <v>574</v>
      </c>
      <c r="K118" s="836"/>
      <c r="L118" s="836"/>
      <c r="M118" s="837"/>
      <c r="N118" s="833"/>
      <c r="O118" s="833"/>
      <c r="T118" s="800"/>
      <c r="U118" s="800"/>
      <c r="V118" s="800"/>
      <c r="W118" s="800"/>
      <c r="X118" s="800"/>
      <c r="Y118" s="800"/>
      <c r="Z118" s="800"/>
      <c r="AA118" s="800"/>
      <c r="AB118" s="800"/>
      <c r="AC118" s="800"/>
      <c r="AD118" s="800"/>
      <c r="AE118" s="800"/>
      <c r="AF118" s="800"/>
      <c r="AG118" s="800"/>
      <c r="AH118" s="800"/>
      <c r="AI118" s="800"/>
    </row>
    <row r="119" spans="1:35" s="803" customFormat="1" ht="23" x14ac:dyDescent="0.3">
      <c r="A119" s="784">
        <v>1.2</v>
      </c>
      <c r="B119" s="770" t="s">
        <v>482</v>
      </c>
      <c r="C119" s="829">
        <f>18*3</f>
        <v>54</v>
      </c>
      <c r="D119" s="823" t="s">
        <v>27</v>
      </c>
      <c r="E119" s="829">
        <v>40</v>
      </c>
      <c r="F119" s="870">
        <f>C119*E119</f>
        <v>2160</v>
      </c>
      <c r="G119" s="876">
        <f>IF(F119="","",F119/$F$5)</f>
        <v>4.5</v>
      </c>
      <c r="H119" s="877"/>
      <c r="I119" s="878"/>
      <c r="J119" s="839" t="s">
        <v>577</v>
      </c>
      <c r="K119" s="836"/>
      <c r="L119" s="836"/>
      <c r="M119" s="837"/>
      <c r="N119" s="833"/>
      <c r="O119" s="833"/>
      <c r="T119" s="800"/>
      <c r="U119" s="800"/>
      <c r="V119" s="800"/>
      <c r="W119" s="800"/>
      <c r="X119" s="800"/>
      <c r="Y119" s="800"/>
      <c r="Z119" s="800"/>
      <c r="AA119" s="800"/>
      <c r="AB119" s="800"/>
      <c r="AC119" s="800"/>
      <c r="AD119" s="800"/>
      <c r="AE119" s="800"/>
      <c r="AF119" s="800"/>
      <c r="AG119" s="800"/>
      <c r="AH119" s="800"/>
      <c r="AI119" s="800"/>
    </row>
    <row r="120" spans="1:35" s="803" customFormat="1" ht="12" x14ac:dyDescent="0.3">
      <c r="A120" s="784">
        <v>1.3</v>
      </c>
      <c r="B120" s="770" t="s">
        <v>483</v>
      </c>
      <c r="C120" s="829">
        <v>1</v>
      </c>
      <c r="D120" s="823" t="s">
        <v>155</v>
      </c>
      <c r="E120" s="829">
        <v>850</v>
      </c>
      <c r="F120" s="870">
        <f>C120*E120</f>
        <v>850</v>
      </c>
      <c r="G120" s="876">
        <f>IF(F120="","",F120/$F$5)</f>
        <v>1.7708333333333333</v>
      </c>
      <c r="H120" s="877"/>
      <c r="I120" s="878"/>
      <c r="J120" s="830"/>
      <c r="K120" s="836"/>
      <c r="L120" s="836"/>
      <c r="M120" s="837"/>
      <c r="N120" s="833"/>
      <c r="O120" s="833"/>
      <c r="T120" s="800"/>
      <c r="U120" s="800"/>
      <c r="V120" s="800"/>
      <c r="W120" s="800"/>
      <c r="X120" s="800"/>
      <c r="Y120" s="800"/>
      <c r="Z120" s="800"/>
      <c r="AA120" s="800"/>
      <c r="AB120" s="800"/>
      <c r="AC120" s="800"/>
      <c r="AD120" s="800"/>
      <c r="AE120" s="800"/>
      <c r="AF120" s="800"/>
      <c r="AG120" s="800"/>
      <c r="AH120" s="800"/>
      <c r="AI120" s="800"/>
    </row>
    <row r="121" spans="1:35" s="803" customFormat="1" ht="12" x14ac:dyDescent="0.3">
      <c r="A121" s="784"/>
      <c r="B121" s="965"/>
      <c r="C121" s="966"/>
      <c r="D121" s="981"/>
      <c r="E121" s="966"/>
      <c r="F121" s="971"/>
      <c r="G121" s="759"/>
      <c r="H121" s="984"/>
      <c r="I121" s="891"/>
      <c r="J121" s="982"/>
      <c r="K121" s="836"/>
      <c r="L121" s="836"/>
      <c r="M121" s="837"/>
      <c r="N121" s="833"/>
      <c r="O121" s="833"/>
      <c r="T121" s="800"/>
      <c r="U121" s="800"/>
      <c r="V121" s="800"/>
      <c r="W121" s="800"/>
      <c r="X121" s="800"/>
      <c r="Y121" s="800"/>
      <c r="Z121" s="800"/>
      <c r="AA121" s="800"/>
      <c r="AB121" s="800"/>
      <c r="AC121" s="800"/>
      <c r="AD121" s="800"/>
      <c r="AE121" s="800"/>
      <c r="AF121" s="800"/>
      <c r="AG121" s="800"/>
      <c r="AH121" s="800"/>
      <c r="AI121" s="800"/>
    </row>
    <row r="122" spans="1:35" s="803" customFormat="1" ht="11.5" x14ac:dyDescent="0.3">
      <c r="A122" s="783">
        <v>2</v>
      </c>
      <c r="B122" s="771" t="s">
        <v>234</v>
      </c>
      <c r="C122" s="829"/>
      <c r="D122" s="823"/>
      <c r="E122" s="824"/>
      <c r="F122" s="874">
        <f>ROUND(SUBTOTAL(9,F123:F124),-3)</f>
        <v>0</v>
      </c>
      <c r="G122" s="875">
        <f>IF(F122="","",F122/$G$5)</f>
        <v>0</v>
      </c>
      <c r="H122" s="874">
        <f>982*18</f>
        <v>17676</v>
      </c>
      <c r="I122" s="873">
        <f>F122-H122</f>
        <v>-17676</v>
      </c>
      <c r="J122" s="830" t="s">
        <v>558</v>
      </c>
      <c r="K122" s="836"/>
      <c r="L122" s="836"/>
      <c r="M122" s="837"/>
      <c r="N122" s="833"/>
      <c r="O122" s="833"/>
      <c r="T122" s="800"/>
      <c r="U122" s="800"/>
      <c r="V122" s="800"/>
      <c r="W122" s="800"/>
      <c r="X122" s="800"/>
      <c r="Y122" s="800"/>
      <c r="Z122" s="800"/>
      <c r="AA122" s="800"/>
      <c r="AB122" s="800"/>
      <c r="AC122" s="800"/>
      <c r="AD122" s="800"/>
      <c r="AE122" s="800"/>
      <c r="AF122" s="800"/>
      <c r="AG122" s="800"/>
      <c r="AH122" s="800"/>
      <c r="AI122" s="800"/>
    </row>
    <row r="123" spans="1:35" s="803" customFormat="1" ht="12" x14ac:dyDescent="0.3">
      <c r="A123" s="784">
        <v>2.1</v>
      </c>
      <c r="B123" s="770" t="s">
        <v>580</v>
      </c>
      <c r="C123" s="829">
        <v>0</v>
      </c>
      <c r="D123" s="823" t="s">
        <v>158</v>
      </c>
      <c r="E123" s="824"/>
      <c r="F123" s="870">
        <f>C123*E123</f>
        <v>0</v>
      </c>
      <c r="G123" s="876">
        <f>IF(F123="","",F123/$F$5)</f>
        <v>0</v>
      </c>
      <c r="H123" s="872"/>
      <c r="I123" s="873"/>
      <c r="J123" s="825"/>
      <c r="K123" s="836"/>
      <c r="L123" s="836"/>
      <c r="M123" s="837"/>
      <c r="N123" s="833"/>
      <c r="O123" s="833"/>
      <c r="T123" s="800"/>
      <c r="U123" s="800"/>
      <c r="V123" s="800"/>
      <c r="W123" s="800"/>
      <c r="X123" s="800"/>
      <c r="Y123" s="800"/>
      <c r="Z123" s="800"/>
      <c r="AA123" s="800"/>
      <c r="AB123" s="800"/>
      <c r="AC123" s="800"/>
      <c r="AD123" s="800"/>
      <c r="AE123" s="800"/>
      <c r="AF123" s="800"/>
      <c r="AG123" s="800"/>
      <c r="AH123" s="800"/>
      <c r="AI123" s="800"/>
    </row>
    <row r="124" spans="1:35" s="803" customFormat="1" ht="12" x14ac:dyDescent="0.3">
      <c r="A124" s="784"/>
      <c r="B124" s="965"/>
      <c r="C124" s="966"/>
      <c r="D124" s="967"/>
      <c r="E124" s="966"/>
      <c r="F124" s="971"/>
      <c r="G124" s="759"/>
      <c r="H124" s="968"/>
      <c r="I124" s="969"/>
      <c r="J124" s="970"/>
      <c r="K124" s="836"/>
      <c r="L124" s="836"/>
      <c r="M124" s="837"/>
      <c r="N124" s="833"/>
      <c r="O124" s="833"/>
      <c r="T124" s="800"/>
      <c r="U124" s="800"/>
      <c r="V124" s="800"/>
      <c r="W124" s="800"/>
      <c r="X124" s="800"/>
      <c r="Y124" s="800"/>
      <c r="Z124" s="800"/>
      <c r="AA124" s="800"/>
      <c r="AB124" s="800"/>
      <c r="AC124" s="800"/>
      <c r="AD124" s="800"/>
      <c r="AE124" s="800"/>
      <c r="AF124" s="800"/>
      <c r="AG124" s="800"/>
      <c r="AH124" s="800"/>
      <c r="AI124" s="800"/>
    </row>
    <row r="125" spans="1:35" s="803" customFormat="1" ht="11.5" x14ac:dyDescent="0.3">
      <c r="A125" s="783">
        <v>3</v>
      </c>
      <c r="B125" s="769" t="s">
        <v>235</v>
      </c>
      <c r="C125" s="829"/>
      <c r="D125" s="828"/>
      <c r="E125" s="829"/>
      <c r="F125" s="874" t="e">
        <f>ROUND(SUBTOTAL(9,F126:F129),-3)</f>
        <v>#REF!</v>
      </c>
      <c r="G125" s="875" t="e">
        <f>IF(F125="","",F125/$G$5)</f>
        <v>#REF!</v>
      </c>
      <c r="H125" s="874">
        <f>982*56</f>
        <v>54992</v>
      </c>
      <c r="I125" s="873" t="e">
        <f>F125-H125</f>
        <v>#REF!</v>
      </c>
      <c r="J125" s="830" t="s">
        <v>558</v>
      </c>
      <c r="K125" s="836"/>
      <c r="L125" s="836"/>
      <c r="M125" s="837"/>
      <c r="N125" s="833"/>
      <c r="O125" s="833"/>
      <c r="T125" s="800"/>
      <c r="U125" s="800"/>
      <c r="V125" s="800"/>
      <c r="W125" s="800"/>
      <c r="X125" s="800"/>
      <c r="Y125" s="800"/>
      <c r="Z125" s="800"/>
      <c r="AA125" s="800"/>
      <c r="AB125" s="800"/>
      <c r="AC125" s="800"/>
      <c r="AD125" s="800"/>
      <c r="AE125" s="800"/>
      <c r="AF125" s="800"/>
      <c r="AG125" s="800"/>
      <c r="AH125" s="800"/>
      <c r="AI125" s="800"/>
    </row>
    <row r="126" spans="1:35" s="803" customFormat="1" ht="12" x14ac:dyDescent="0.3">
      <c r="A126" s="784">
        <v>3.1</v>
      </c>
      <c r="B126" s="770" t="s">
        <v>560</v>
      </c>
      <c r="C126" s="829" t="e">
        <f>ROUNDUP(#REF!*85/1000,0)</f>
        <v>#REF!</v>
      </c>
      <c r="D126" s="828" t="s">
        <v>193</v>
      </c>
      <c r="E126" s="829">
        <v>1950</v>
      </c>
      <c r="F126" s="870" t="e">
        <f>C126*E126</f>
        <v>#REF!</v>
      </c>
      <c r="G126" s="876" t="e">
        <f>IF(F126="","",F126/$F$5)</f>
        <v>#REF!</v>
      </c>
      <c r="H126" s="874"/>
      <c r="I126" s="873"/>
      <c r="J126" s="825"/>
      <c r="K126" s="836"/>
      <c r="L126" s="836"/>
      <c r="M126" s="837"/>
      <c r="N126" s="833"/>
      <c r="O126" s="833"/>
      <c r="T126" s="800"/>
      <c r="U126" s="800"/>
      <c r="V126" s="800"/>
      <c r="W126" s="800"/>
      <c r="X126" s="800"/>
      <c r="Y126" s="800"/>
      <c r="Z126" s="800"/>
      <c r="AA126" s="800"/>
      <c r="AB126" s="800"/>
      <c r="AC126" s="800"/>
      <c r="AD126" s="800"/>
      <c r="AE126" s="800"/>
      <c r="AF126" s="800"/>
      <c r="AG126" s="800"/>
      <c r="AH126" s="800"/>
      <c r="AI126" s="800"/>
    </row>
    <row r="127" spans="1:35" s="803" customFormat="1" ht="12" x14ac:dyDescent="0.3">
      <c r="A127" s="784">
        <v>3.2</v>
      </c>
      <c r="B127" s="770" t="s">
        <v>246</v>
      </c>
      <c r="C127" s="838" t="e">
        <f>ROUND(C126*0.1,1)</f>
        <v>#REF!</v>
      </c>
      <c r="D127" s="828" t="s">
        <v>193</v>
      </c>
      <c r="E127" s="829">
        <v>1950</v>
      </c>
      <c r="F127" s="870" t="e">
        <f>C127*E127</f>
        <v>#REF!</v>
      </c>
      <c r="G127" s="876" t="e">
        <f>IF(F127="","",F127/$F$5)</f>
        <v>#REF!</v>
      </c>
      <c r="H127" s="874"/>
      <c r="I127" s="873"/>
      <c r="J127" s="825"/>
      <c r="K127" s="836"/>
      <c r="L127" s="836"/>
      <c r="M127" s="837"/>
      <c r="N127" s="833"/>
      <c r="O127" s="833"/>
      <c r="T127" s="800"/>
      <c r="U127" s="800"/>
      <c r="V127" s="800"/>
      <c r="W127" s="800"/>
      <c r="X127" s="800"/>
      <c r="Y127" s="800"/>
      <c r="Z127" s="800"/>
      <c r="AA127" s="800"/>
      <c r="AB127" s="800"/>
      <c r="AC127" s="800"/>
      <c r="AD127" s="800"/>
      <c r="AE127" s="800"/>
      <c r="AF127" s="800"/>
      <c r="AG127" s="800"/>
      <c r="AH127" s="800"/>
      <c r="AI127" s="800"/>
    </row>
    <row r="128" spans="1:35" s="803" customFormat="1" ht="12" x14ac:dyDescent="0.3">
      <c r="A128" s="784">
        <v>3.3</v>
      </c>
      <c r="B128" s="770" t="s">
        <v>573</v>
      </c>
      <c r="C128" s="829">
        <v>1</v>
      </c>
      <c r="D128" s="828" t="s">
        <v>158</v>
      </c>
      <c r="E128" s="829">
        <v>5000</v>
      </c>
      <c r="F128" s="870">
        <f>C128*E128</f>
        <v>5000</v>
      </c>
      <c r="G128" s="876">
        <f>IF(F128="","",F128/$F$5)</f>
        <v>10.416666666666666</v>
      </c>
      <c r="H128" s="874"/>
      <c r="I128" s="873"/>
      <c r="J128" s="830" t="s">
        <v>620</v>
      </c>
      <c r="K128" s="836"/>
      <c r="L128" s="836"/>
      <c r="M128" s="837"/>
      <c r="N128" s="833"/>
      <c r="O128" s="833"/>
      <c r="T128" s="800"/>
      <c r="U128" s="800"/>
      <c r="V128" s="800"/>
      <c r="W128" s="800"/>
      <c r="X128" s="800"/>
      <c r="Y128" s="800"/>
      <c r="Z128" s="800"/>
      <c r="AA128" s="800"/>
      <c r="AB128" s="800"/>
      <c r="AC128" s="800"/>
      <c r="AD128" s="800"/>
      <c r="AE128" s="800"/>
      <c r="AF128" s="800"/>
      <c r="AG128" s="800"/>
      <c r="AH128" s="800"/>
      <c r="AI128" s="800"/>
    </row>
    <row r="129" spans="1:35" s="803" customFormat="1" ht="12" x14ac:dyDescent="0.3">
      <c r="A129" s="784">
        <v>3.4</v>
      </c>
      <c r="B129" s="770" t="s">
        <v>456</v>
      </c>
      <c r="C129" s="829" t="e">
        <f>#REF!</f>
        <v>#REF!</v>
      </c>
      <c r="D129" s="840" t="s">
        <v>27</v>
      </c>
      <c r="E129" s="829">
        <v>60</v>
      </c>
      <c r="F129" s="870" t="e">
        <f>C129*E129</f>
        <v>#REF!</v>
      </c>
      <c r="G129" s="876" t="e">
        <f>IF(F129="","",F129/$F$5)</f>
        <v>#REF!</v>
      </c>
      <c r="H129" s="874"/>
      <c r="I129" s="873"/>
      <c r="J129" s="839"/>
      <c r="K129" s="836"/>
      <c r="L129" s="836"/>
      <c r="M129" s="837"/>
      <c r="N129" s="833"/>
      <c r="O129" s="833"/>
      <c r="T129" s="800"/>
      <c r="U129" s="800"/>
      <c r="V129" s="800"/>
      <c r="W129" s="800"/>
      <c r="X129" s="800"/>
      <c r="Y129" s="800"/>
      <c r="Z129" s="800"/>
      <c r="AA129" s="800"/>
      <c r="AB129" s="800"/>
      <c r="AC129" s="800"/>
      <c r="AD129" s="800"/>
      <c r="AE129" s="800"/>
      <c r="AF129" s="800"/>
      <c r="AG129" s="800"/>
      <c r="AH129" s="800"/>
      <c r="AI129" s="800"/>
    </row>
    <row r="130" spans="1:35" s="803" customFormat="1" ht="12" x14ac:dyDescent="0.3">
      <c r="A130" s="784"/>
      <c r="B130" s="965"/>
      <c r="C130" s="966"/>
      <c r="D130" s="967"/>
      <c r="E130" s="966"/>
      <c r="F130" s="971"/>
      <c r="G130" s="759"/>
      <c r="H130" s="968"/>
      <c r="I130" s="969"/>
      <c r="J130" s="970"/>
      <c r="K130" s="836"/>
      <c r="L130" s="836"/>
      <c r="M130" s="837"/>
      <c r="N130" s="833"/>
      <c r="O130" s="833"/>
      <c r="T130" s="800"/>
      <c r="U130" s="800"/>
      <c r="V130" s="800"/>
      <c r="W130" s="800"/>
      <c r="X130" s="800"/>
      <c r="Y130" s="800"/>
      <c r="Z130" s="800"/>
      <c r="AA130" s="800"/>
      <c r="AB130" s="800"/>
      <c r="AC130" s="800"/>
      <c r="AD130" s="800"/>
      <c r="AE130" s="800"/>
      <c r="AF130" s="800"/>
      <c r="AG130" s="800"/>
      <c r="AH130" s="800"/>
      <c r="AI130" s="800"/>
    </row>
    <row r="131" spans="1:35" s="803" customFormat="1" ht="11.5" x14ac:dyDescent="0.3">
      <c r="A131" s="783">
        <v>4</v>
      </c>
      <c r="B131" s="774" t="s">
        <v>49</v>
      </c>
      <c r="C131" s="829"/>
      <c r="D131" s="840"/>
      <c r="E131" s="829"/>
      <c r="F131" s="874" t="e">
        <f>ROUND(SUBTOTAL(9,F132:F135),-3)</f>
        <v>#REF!</v>
      </c>
      <c r="G131" s="875" t="e">
        <f>IF(F131="","",F131/$G$5)</f>
        <v>#REF!</v>
      </c>
      <c r="H131" s="874">
        <f>982*50</f>
        <v>49100</v>
      </c>
      <c r="I131" s="873" t="e">
        <f>F131-H131</f>
        <v>#REF!</v>
      </c>
      <c r="J131" s="830" t="s">
        <v>558</v>
      </c>
      <c r="K131" s="836"/>
      <c r="L131" s="836"/>
      <c r="M131" s="837"/>
      <c r="N131" s="833"/>
      <c r="O131" s="833"/>
      <c r="T131" s="800"/>
      <c r="U131" s="800"/>
      <c r="V131" s="800"/>
      <c r="W131" s="800"/>
      <c r="X131" s="800"/>
      <c r="Y131" s="800"/>
      <c r="Z131" s="800"/>
      <c r="AA131" s="800"/>
      <c r="AB131" s="800"/>
      <c r="AC131" s="800"/>
      <c r="AD131" s="800"/>
      <c r="AE131" s="800"/>
      <c r="AF131" s="800"/>
      <c r="AG131" s="800"/>
      <c r="AH131" s="800"/>
      <c r="AI131" s="800"/>
    </row>
    <row r="132" spans="1:35" s="803" customFormat="1" ht="23" x14ac:dyDescent="0.3">
      <c r="A132" s="784">
        <v>4.0999999999999996</v>
      </c>
      <c r="B132" s="770" t="s">
        <v>242</v>
      </c>
      <c r="C132" s="829" t="e">
        <f>C129</f>
        <v>#REF!</v>
      </c>
      <c r="D132" s="840" t="s">
        <v>27</v>
      </c>
      <c r="E132" s="829">
        <v>250</v>
      </c>
      <c r="F132" s="870" t="e">
        <f>C132*E132</f>
        <v>#REF!</v>
      </c>
      <c r="G132" s="876" t="e">
        <f>IF(F132="","",F132/$F$5)</f>
        <v>#REF!</v>
      </c>
      <c r="H132" s="874"/>
      <c r="I132" s="873"/>
      <c r="J132" s="825"/>
      <c r="K132" s="836"/>
      <c r="L132" s="836"/>
      <c r="M132" s="837"/>
      <c r="N132" s="833"/>
      <c r="O132" s="833"/>
      <c r="T132" s="800"/>
      <c r="U132" s="800"/>
      <c r="V132" s="800"/>
      <c r="W132" s="800"/>
      <c r="X132" s="800"/>
      <c r="Y132" s="800"/>
      <c r="Z132" s="800"/>
      <c r="AA132" s="800"/>
      <c r="AB132" s="800"/>
      <c r="AC132" s="800"/>
      <c r="AD132" s="800"/>
      <c r="AE132" s="800"/>
      <c r="AF132" s="800"/>
      <c r="AG132" s="800"/>
      <c r="AH132" s="800"/>
      <c r="AI132" s="800"/>
    </row>
    <row r="133" spans="1:35" s="803" customFormat="1" ht="12" x14ac:dyDescent="0.3">
      <c r="A133" s="784">
        <v>4.2</v>
      </c>
      <c r="B133" s="770" t="s">
        <v>205</v>
      </c>
      <c r="C133" s="829">
        <v>90</v>
      </c>
      <c r="D133" s="840" t="s">
        <v>153</v>
      </c>
      <c r="E133" s="829">
        <v>120</v>
      </c>
      <c r="F133" s="870">
        <f>C133*E133</f>
        <v>10800</v>
      </c>
      <c r="G133" s="876">
        <f>IF(F133="","",F133/$F$5)</f>
        <v>22.5</v>
      </c>
      <c r="H133" s="874"/>
      <c r="I133" s="873"/>
      <c r="J133" s="825"/>
      <c r="K133" s="836"/>
      <c r="L133" s="836"/>
      <c r="M133" s="837"/>
      <c r="N133" s="833"/>
      <c r="O133" s="833"/>
      <c r="T133" s="800"/>
      <c r="U133" s="800"/>
      <c r="V133" s="800"/>
      <c r="W133" s="800"/>
      <c r="X133" s="800"/>
      <c r="Y133" s="800"/>
      <c r="Z133" s="800"/>
      <c r="AA133" s="800"/>
      <c r="AB133" s="800"/>
      <c r="AC133" s="800"/>
      <c r="AD133" s="800"/>
      <c r="AE133" s="800"/>
      <c r="AF133" s="800"/>
      <c r="AG133" s="800"/>
      <c r="AH133" s="800"/>
      <c r="AI133" s="800"/>
    </row>
    <row r="134" spans="1:35" s="803" customFormat="1" ht="12" x14ac:dyDescent="0.3">
      <c r="A134" s="784">
        <v>4.3</v>
      </c>
      <c r="B134" s="770" t="s">
        <v>207</v>
      </c>
      <c r="C134" s="829">
        <v>18</v>
      </c>
      <c r="D134" s="840" t="s">
        <v>153</v>
      </c>
      <c r="E134" s="829">
        <v>150</v>
      </c>
      <c r="F134" s="870">
        <f>C134*E134</f>
        <v>2700</v>
      </c>
      <c r="G134" s="876">
        <f>IF(F134="","",F134/$F$5)</f>
        <v>5.625</v>
      </c>
      <c r="H134" s="874"/>
      <c r="I134" s="873"/>
      <c r="J134" s="825"/>
      <c r="K134" s="836"/>
      <c r="L134" s="836"/>
      <c r="M134" s="837"/>
      <c r="N134" s="833"/>
      <c r="O134" s="833"/>
      <c r="T134" s="800"/>
      <c r="U134" s="800"/>
      <c r="V134" s="800"/>
      <c r="W134" s="800"/>
      <c r="X134" s="800"/>
      <c r="Y134" s="800"/>
      <c r="Z134" s="800"/>
      <c r="AA134" s="800"/>
      <c r="AB134" s="800"/>
      <c r="AC134" s="800"/>
      <c r="AD134" s="800"/>
      <c r="AE134" s="800"/>
      <c r="AF134" s="800"/>
      <c r="AG134" s="800"/>
      <c r="AH134" s="800"/>
      <c r="AI134" s="800"/>
    </row>
    <row r="135" spans="1:35" s="803" customFormat="1" ht="12" x14ac:dyDescent="0.3">
      <c r="A135" s="784">
        <v>4.4000000000000004</v>
      </c>
      <c r="B135" s="770" t="s">
        <v>208</v>
      </c>
      <c r="C135" s="829">
        <v>1</v>
      </c>
      <c r="D135" s="880" t="s">
        <v>158</v>
      </c>
      <c r="E135" s="881">
        <v>1000</v>
      </c>
      <c r="F135" s="870">
        <f>C135*E135</f>
        <v>1000</v>
      </c>
      <c r="G135" s="876">
        <f>IF(F135="","",F135/$F$5)</f>
        <v>2.0833333333333335</v>
      </c>
      <c r="H135" s="877"/>
      <c r="I135" s="878"/>
      <c r="J135" s="825" t="s">
        <v>640</v>
      </c>
      <c r="K135" s="836"/>
      <c r="L135" s="836"/>
      <c r="M135" s="837"/>
      <c r="N135" s="833"/>
      <c r="O135" s="833"/>
      <c r="T135" s="800"/>
      <c r="U135" s="800"/>
      <c r="V135" s="800"/>
      <c r="W135" s="800"/>
      <c r="X135" s="800"/>
      <c r="Y135" s="800"/>
      <c r="Z135" s="800"/>
      <c r="AA135" s="800"/>
      <c r="AB135" s="800"/>
      <c r="AC135" s="800"/>
      <c r="AD135" s="800"/>
      <c r="AE135" s="800"/>
      <c r="AF135" s="800"/>
      <c r="AG135" s="800"/>
      <c r="AH135" s="800"/>
      <c r="AI135" s="800"/>
    </row>
    <row r="136" spans="1:35" s="803" customFormat="1" ht="12" x14ac:dyDescent="0.3">
      <c r="A136" s="784"/>
      <c r="B136" s="965"/>
      <c r="C136" s="966"/>
      <c r="D136" s="967"/>
      <c r="E136" s="966"/>
      <c r="F136" s="971"/>
      <c r="G136" s="759"/>
      <c r="H136" s="968"/>
      <c r="I136" s="969"/>
      <c r="J136" s="970"/>
      <c r="K136" s="836"/>
      <c r="L136" s="836"/>
      <c r="M136" s="837"/>
      <c r="N136" s="833"/>
      <c r="O136" s="833"/>
      <c r="T136" s="800"/>
      <c r="U136" s="800"/>
      <c r="V136" s="800"/>
      <c r="W136" s="800"/>
      <c r="X136" s="800"/>
      <c r="Y136" s="800"/>
      <c r="Z136" s="800"/>
      <c r="AA136" s="800"/>
      <c r="AB136" s="800"/>
      <c r="AC136" s="800"/>
      <c r="AD136" s="800"/>
      <c r="AE136" s="800"/>
      <c r="AF136" s="800"/>
      <c r="AG136" s="800"/>
      <c r="AH136" s="800"/>
      <c r="AI136" s="800"/>
    </row>
    <row r="137" spans="1:35" s="803" customFormat="1" ht="11.5" x14ac:dyDescent="0.3">
      <c r="A137" s="783">
        <v>5</v>
      </c>
      <c r="B137" s="769" t="s">
        <v>120</v>
      </c>
      <c r="C137" s="829"/>
      <c r="D137" s="828"/>
      <c r="E137" s="829"/>
      <c r="F137" s="874">
        <f>ROUND(SUBTOTAL(9,F138:F139),-3)</f>
        <v>15000</v>
      </c>
      <c r="G137" s="875">
        <f>IF(F137="","",F137/$G$5)</f>
        <v>31.25</v>
      </c>
      <c r="H137" s="874">
        <f>982*0</f>
        <v>0</v>
      </c>
      <c r="I137" s="873">
        <f>F137-H137</f>
        <v>15000</v>
      </c>
      <c r="J137" s="830" t="s">
        <v>558</v>
      </c>
      <c r="K137" s="836"/>
      <c r="L137" s="836"/>
      <c r="M137" s="837"/>
      <c r="N137" s="833"/>
      <c r="O137" s="833"/>
      <c r="T137" s="800"/>
      <c r="U137" s="800"/>
      <c r="V137" s="800"/>
      <c r="W137" s="800"/>
      <c r="X137" s="800"/>
      <c r="Y137" s="800"/>
      <c r="Z137" s="800"/>
      <c r="AA137" s="800"/>
      <c r="AB137" s="800"/>
      <c r="AC137" s="800"/>
      <c r="AD137" s="800"/>
      <c r="AE137" s="800"/>
      <c r="AF137" s="800"/>
      <c r="AG137" s="800"/>
      <c r="AH137" s="800"/>
      <c r="AI137" s="800"/>
    </row>
    <row r="138" spans="1:35" s="803" customFormat="1" ht="12" x14ac:dyDescent="0.3">
      <c r="A138" s="784">
        <v>5.0999999999999996</v>
      </c>
      <c r="B138" s="770" t="s">
        <v>484</v>
      </c>
      <c r="C138" s="829">
        <v>1</v>
      </c>
      <c r="D138" s="823" t="s">
        <v>331</v>
      </c>
      <c r="E138" s="881">
        <v>15000</v>
      </c>
      <c r="F138" s="870">
        <f>C138*E138</f>
        <v>15000</v>
      </c>
      <c r="G138" s="876">
        <f>IF(F138="","",F138/$F$5)</f>
        <v>31.25</v>
      </c>
      <c r="H138" s="877"/>
      <c r="I138" s="878"/>
      <c r="J138" s="825" t="s">
        <v>575</v>
      </c>
      <c r="K138" s="836"/>
      <c r="L138" s="836"/>
      <c r="M138" s="837"/>
      <c r="N138" s="833"/>
      <c r="O138" s="833"/>
      <c r="T138" s="800"/>
      <c r="U138" s="800"/>
      <c r="V138" s="800"/>
      <c r="W138" s="800"/>
      <c r="X138" s="800"/>
      <c r="Y138" s="800"/>
      <c r="Z138" s="800"/>
      <c r="AA138" s="800"/>
      <c r="AB138" s="800"/>
      <c r="AC138" s="800"/>
      <c r="AD138" s="800"/>
      <c r="AE138" s="800"/>
      <c r="AF138" s="800"/>
      <c r="AG138" s="800"/>
      <c r="AH138" s="800"/>
      <c r="AI138" s="800"/>
    </row>
    <row r="139" spans="1:35" s="803" customFormat="1" ht="12" x14ac:dyDescent="0.3">
      <c r="A139" s="784">
        <v>5.2</v>
      </c>
      <c r="B139" s="770" t="s">
        <v>616</v>
      </c>
      <c r="C139" s="829">
        <v>0</v>
      </c>
      <c r="D139" s="828" t="s">
        <v>331</v>
      </c>
      <c r="E139" s="883">
        <v>12000</v>
      </c>
      <c r="F139" s="870">
        <f>C139*E139</f>
        <v>0</v>
      </c>
      <c r="G139" s="876">
        <f>IF(F139="","",F139/$F$5)</f>
        <v>0</v>
      </c>
      <c r="H139" s="877"/>
      <c r="I139" s="878"/>
      <c r="J139" s="825" t="s">
        <v>633</v>
      </c>
      <c r="K139" s="836"/>
      <c r="L139" s="836"/>
      <c r="M139" s="837"/>
      <c r="N139" s="833"/>
      <c r="O139" s="833"/>
      <c r="T139" s="800"/>
      <c r="U139" s="800"/>
      <c r="V139" s="800"/>
      <c r="W139" s="800"/>
      <c r="X139" s="800"/>
      <c r="Y139" s="800"/>
      <c r="Z139" s="800"/>
      <c r="AA139" s="800"/>
      <c r="AB139" s="800"/>
      <c r="AC139" s="800"/>
      <c r="AD139" s="800"/>
      <c r="AE139" s="800"/>
      <c r="AF139" s="800"/>
      <c r="AG139" s="800"/>
      <c r="AH139" s="800"/>
      <c r="AI139" s="800"/>
    </row>
    <row r="140" spans="1:35" s="803" customFormat="1" ht="12" x14ac:dyDescent="0.3">
      <c r="A140" s="784"/>
      <c r="B140" s="869"/>
      <c r="C140" s="829"/>
      <c r="D140" s="882"/>
      <c r="E140" s="883"/>
      <c r="F140" s="870"/>
      <c r="G140" s="871" t="str">
        <f>IF(F140="","",F140/#REF!)</f>
        <v/>
      </c>
      <c r="H140" s="877"/>
      <c r="I140" s="878"/>
      <c r="J140" s="825"/>
      <c r="K140" s="836"/>
      <c r="L140" s="836"/>
      <c r="M140" s="837"/>
      <c r="N140" s="833"/>
      <c r="O140" s="833"/>
      <c r="T140" s="800"/>
      <c r="U140" s="800"/>
      <c r="V140" s="800"/>
      <c r="W140" s="800"/>
      <c r="X140" s="800"/>
      <c r="Y140" s="800"/>
      <c r="Z140" s="800"/>
      <c r="AA140" s="800"/>
      <c r="AB140" s="800"/>
      <c r="AC140" s="800"/>
      <c r="AD140" s="800"/>
      <c r="AE140" s="800"/>
      <c r="AF140" s="800"/>
      <c r="AG140" s="800"/>
      <c r="AH140" s="800"/>
      <c r="AI140" s="800"/>
    </row>
    <row r="141" spans="1:35" s="803" customFormat="1" ht="11.5" x14ac:dyDescent="0.3">
      <c r="A141" s="783">
        <v>6</v>
      </c>
      <c r="B141" s="774" t="s">
        <v>236</v>
      </c>
      <c r="C141" s="829"/>
      <c r="D141" s="844"/>
      <c r="E141" s="829"/>
      <c r="F141" s="874">
        <f>ROUND(SUBTOTAL(9,F142:F147),-3)</f>
        <v>137000</v>
      </c>
      <c r="G141" s="875">
        <f>IF(F141="","",F141/$G$5)</f>
        <v>285.41666666666669</v>
      </c>
      <c r="H141" s="874">
        <f>982*184</f>
        <v>180688</v>
      </c>
      <c r="I141" s="873">
        <f>F141-H141</f>
        <v>-43688</v>
      </c>
      <c r="J141" s="830" t="s">
        <v>558</v>
      </c>
      <c r="K141" s="836"/>
      <c r="L141" s="836"/>
      <c r="M141" s="837"/>
      <c r="N141" s="833"/>
      <c r="O141" s="833"/>
      <c r="T141" s="800"/>
      <c r="U141" s="800"/>
      <c r="V141" s="800"/>
      <c r="W141" s="800"/>
      <c r="X141" s="800"/>
      <c r="Y141" s="800"/>
      <c r="Z141" s="800"/>
      <c r="AA141" s="800"/>
      <c r="AB141" s="800"/>
      <c r="AC141" s="800"/>
      <c r="AD141" s="800"/>
      <c r="AE141" s="800"/>
      <c r="AF141" s="800"/>
      <c r="AG141" s="800"/>
      <c r="AH141" s="800"/>
      <c r="AI141" s="800"/>
    </row>
    <row r="142" spans="1:35" s="803" customFormat="1" ht="12" x14ac:dyDescent="0.3">
      <c r="A142" s="784">
        <v>6.1</v>
      </c>
      <c r="B142" s="770" t="s">
        <v>214</v>
      </c>
      <c r="C142" s="829">
        <f>75*3</f>
        <v>225</v>
      </c>
      <c r="D142" s="844" t="s">
        <v>27</v>
      </c>
      <c r="E142" s="829">
        <v>150</v>
      </c>
      <c r="F142" s="870">
        <f t="shared" ref="F142:F147" si="4">C142*E142</f>
        <v>33750</v>
      </c>
      <c r="G142" s="876">
        <f t="shared" ref="G142:G147" si="5">IF(F142="","",F142/$F$5)</f>
        <v>70.3125</v>
      </c>
      <c r="H142" s="877"/>
      <c r="I142" s="878"/>
      <c r="J142" s="825" t="s">
        <v>577</v>
      </c>
      <c r="K142" s="836"/>
      <c r="L142" s="836"/>
      <c r="M142" s="837"/>
      <c r="N142" s="833"/>
      <c r="O142" s="833"/>
      <c r="T142" s="800"/>
      <c r="U142" s="800"/>
      <c r="V142" s="800"/>
      <c r="W142" s="800"/>
      <c r="X142" s="800"/>
      <c r="Y142" s="800"/>
      <c r="Z142" s="800"/>
      <c r="AA142" s="800"/>
      <c r="AB142" s="800"/>
      <c r="AC142" s="800"/>
      <c r="AD142" s="800"/>
      <c r="AE142" s="800"/>
      <c r="AF142" s="800"/>
      <c r="AG142" s="800"/>
      <c r="AH142" s="800"/>
      <c r="AI142" s="800"/>
    </row>
    <row r="143" spans="1:35" s="803" customFormat="1" ht="12" x14ac:dyDescent="0.3">
      <c r="A143" s="784">
        <v>6.2</v>
      </c>
      <c r="B143" s="770" t="s">
        <v>544</v>
      </c>
      <c r="C143" s="829">
        <f>ROUND(C142*45%,0)</f>
        <v>101</v>
      </c>
      <c r="D143" s="880" t="s">
        <v>27</v>
      </c>
      <c r="E143" s="829">
        <v>425</v>
      </c>
      <c r="F143" s="870">
        <f t="shared" si="4"/>
        <v>42925</v>
      </c>
      <c r="G143" s="876">
        <f t="shared" si="5"/>
        <v>89.427083333333329</v>
      </c>
      <c r="H143" s="877"/>
      <c r="I143" s="878"/>
      <c r="J143" s="825" t="s">
        <v>545</v>
      </c>
      <c r="K143" s="836"/>
      <c r="L143" s="836"/>
      <c r="M143" s="837"/>
      <c r="N143" s="833"/>
      <c r="O143" s="833"/>
      <c r="T143" s="800"/>
      <c r="U143" s="800"/>
      <c r="V143" s="800"/>
      <c r="W143" s="800"/>
      <c r="X143" s="800"/>
      <c r="Y143" s="800"/>
      <c r="Z143" s="800"/>
      <c r="AA143" s="800"/>
      <c r="AB143" s="800"/>
      <c r="AC143" s="800"/>
      <c r="AD143" s="800"/>
      <c r="AE143" s="800"/>
      <c r="AF143" s="800"/>
      <c r="AG143" s="800"/>
      <c r="AH143" s="800"/>
      <c r="AI143" s="800"/>
    </row>
    <row r="144" spans="1:35" s="803" customFormat="1" ht="12" x14ac:dyDescent="0.3">
      <c r="A144" s="784">
        <v>6.4</v>
      </c>
      <c r="B144" s="770" t="s">
        <v>485</v>
      </c>
      <c r="C144" s="829">
        <f>(C142-C143)*0.5</f>
        <v>62</v>
      </c>
      <c r="D144" s="844" t="s">
        <v>27</v>
      </c>
      <c r="E144" s="829">
        <v>340</v>
      </c>
      <c r="F144" s="870">
        <f t="shared" si="4"/>
        <v>21080</v>
      </c>
      <c r="G144" s="876">
        <f t="shared" si="5"/>
        <v>43.916666666666664</v>
      </c>
      <c r="H144" s="877"/>
      <c r="I144" s="878"/>
      <c r="J144" s="839" t="s">
        <v>576</v>
      </c>
      <c r="K144" s="836"/>
      <c r="L144" s="836"/>
      <c r="M144" s="837"/>
      <c r="N144" s="833"/>
      <c r="O144" s="833"/>
      <c r="T144" s="800"/>
      <c r="U144" s="800"/>
      <c r="V144" s="800"/>
      <c r="W144" s="800"/>
      <c r="X144" s="800"/>
      <c r="Y144" s="800"/>
      <c r="Z144" s="800"/>
      <c r="AA144" s="800"/>
      <c r="AB144" s="800"/>
      <c r="AC144" s="800"/>
      <c r="AD144" s="800"/>
      <c r="AE144" s="800"/>
      <c r="AF144" s="800"/>
      <c r="AG144" s="800"/>
      <c r="AH144" s="800"/>
      <c r="AI144" s="800"/>
    </row>
    <row r="145" spans="1:35" s="803" customFormat="1" ht="23" x14ac:dyDescent="0.3">
      <c r="A145" s="784">
        <v>6.5</v>
      </c>
      <c r="B145" s="770" t="s">
        <v>218</v>
      </c>
      <c r="C145" s="829">
        <f>2*3</f>
        <v>6</v>
      </c>
      <c r="D145" s="880" t="s">
        <v>153</v>
      </c>
      <c r="E145" s="829">
        <v>200</v>
      </c>
      <c r="F145" s="870">
        <f t="shared" si="4"/>
        <v>1200</v>
      </c>
      <c r="G145" s="876">
        <f t="shared" si="5"/>
        <v>2.5</v>
      </c>
      <c r="H145" s="877"/>
      <c r="I145" s="878"/>
      <c r="J145" s="839" t="s">
        <v>578</v>
      </c>
      <c r="K145" s="836"/>
      <c r="L145" s="836"/>
      <c r="M145" s="837"/>
      <c r="N145" s="833"/>
      <c r="O145" s="833"/>
      <c r="T145" s="800"/>
      <c r="U145" s="800"/>
      <c r="V145" s="800"/>
      <c r="W145" s="800"/>
      <c r="X145" s="800"/>
      <c r="Y145" s="800"/>
      <c r="Z145" s="800"/>
      <c r="AA145" s="800"/>
      <c r="AB145" s="800"/>
      <c r="AC145" s="800"/>
      <c r="AD145" s="800"/>
      <c r="AE145" s="800"/>
      <c r="AF145" s="800"/>
      <c r="AG145" s="800"/>
      <c r="AH145" s="800"/>
      <c r="AI145" s="800"/>
    </row>
    <row r="146" spans="1:35" s="803" customFormat="1" ht="12" x14ac:dyDescent="0.3">
      <c r="A146" s="784">
        <v>6.6</v>
      </c>
      <c r="B146" s="770" t="s">
        <v>486</v>
      </c>
      <c r="C146" s="829">
        <v>1</v>
      </c>
      <c r="D146" s="880" t="s">
        <v>155</v>
      </c>
      <c r="E146" s="881">
        <v>2500</v>
      </c>
      <c r="F146" s="870">
        <f t="shared" si="4"/>
        <v>2500</v>
      </c>
      <c r="G146" s="876">
        <f t="shared" si="5"/>
        <v>5.208333333333333</v>
      </c>
      <c r="H146" s="877"/>
      <c r="I146" s="878"/>
      <c r="J146" s="839" t="s">
        <v>547</v>
      </c>
      <c r="K146" s="836"/>
      <c r="L146" s="836"/>
      <c r="M146" s="837"/>
      <c r="N146" s="833"/>
      <c r="O146" s="833"/>
      <c r="T146" s="800"/>
      <c r="U146" s="800"/>
      <c r="V146" s="800"/>
      <c r="W146" s="800"/>
      <c r="X146" s="800"/>
      <c r="Y146" s="800"/>
      <c r="Z146" s="800"/>
      <c r="AA146" s="800"/>
      <c r="AB146" s="800"/>
      <c r="AC146" s="800"/>
      <c r="AD146" s="800"/>
      <c r="AE146" s="800"/>
      <c r="AF146" s="800"/>
      <c r="AG146" s="800"/>
      <c r="AH146" s="800"/>
      <c r="AI146" s="800"/>
    </row>
    <row r="147" spans="1:35" s="803" customFormat="1" ht="12" x14ac:dyDescent="0.3">
      <c r="A147" s="784">
        <v>6.7</v>
      </c>
      <c r="B147" s="770" t="s">
        <v>487</v>
      </c>
      <c r="C147" s="829">
        <f>+C143</f>
        <v>101</v>
      </c>
      <c r="D147" s="844" t="s">
        <v>27</v>
      </c>
      <c r="E147" s="881">
        <v>350</v>
      </c>
      <c r="F147" s="870">
        <f t="shared" si="4"/>
        <v>35350</v>
      </c>
      <c r="G147" s="876">
        <f t="shared" si="5"/>
        <v>73.645833333333329</v>
      </c>
      <c r="H147" s="877"/>
      <c r="I147" s="878"/>
      <c r="J147" s="825" t="s">
        <v>548</v>
      </c>
      <c r="K147" s="836"/>
      <c r="L147" s="836"/>
      <c r="M147" s="837"/>
      <c r="N147" s="833"/>
      <c r="O147" s="833"/>
      <c r="T147" s="800"/>
      <c r="U147" s="800"/>
      <c r="V147" s="800"/>
      <c r="W147" s="800"/>
      <c r="X147" s="800"/>
      <c r="Y147" s="800"/>
      <c r="Z147" s="800"/>
      <c r="AA147" s="800"/>
      <c r="AB147" s="800"/>
      <c r="AC147" s="800"/>
      <c r="AD147" s="800"/>
      <c r="AE147" s="800"/>
      <c r="AF147" s="800"/>
      <c r="AG147" s="800"/>
      <c r="AH147" s="800"/>
      <c r="AI147" s="800"/>
    </row>
    <row r="148" spans="1:35" s="803" customFormat="1" ht="11.5" x14ac:dyDescent="0.3">
      <c r="A148" s="784"/>
      <c r="B148" s="774"/>
      <c r="C148" s="829"/>
      <c r="D148" s="844"/>
      <c r="E148" s="829"/>
      <c r="F148" s="874"/>
      <c r="G148" s="875"/>
      <c r="H148" s="874"/>
      <c r="I148" s="873"/>
      <c r="J148" s="825"/>
      <c r="K148" s="836"/>
      <c r="L148" s="836"/>
      <c r="M148" s="837"/>
      <c r="N148" s="833"/>
      <c r="O148" s="833"/>
      <c r="T148" s="800"/>
      <c r="U148" s="800"/>
      <c r="V148" s="800"/>
      <c r="W148" s="800"/>
      <c r="X148" s="800"/>
      <c r="Y148" s="800"/>
      <c r="Z148" s="800"/>
      <c r="AA148" s="800"/>
      <c r="AB148" s="800"/>
      <c r="AC148" s="800"/>
      <c r="AD148" s="800"/>
      <c r="AE148" s="800"/>
      <c r="AF148" s="800"/>
      <c r="AG148" s="800"/>
      <c r="AH148" s="800"/>
      <c r="AI148" s="800"/>
    </row>
    <row r="149" spans="1:35" s="803" customFormat="1" ht="11.5" x14ac:dyDescent="0.3">
      <c r="A149" s="783">
        <v>7</v>
      </c>
      <c r="B149" s="774" t="s">
        <v>51</v>
      </c>
      <c r="C149" s="829"/>
      <c r="D149" s="844"/>
      <c r="E149" s="829"/>
      <c r="F149" s="874">
        <f>ROUND(SUBTOTAL(9,F150:F152),-3)</f>
        <v>22000</v>
      </c>
      <c r="G149" s="875">
        <f>IF(F149="","",F149/$G$5)</f>
        <v>45.833333333333336</v>
      </c>
      <c r="H149" s="874">
        <f>982*91</f>
        <v>89362</v>
      </c>
      <c r="I149" s="873">
        <f>F149-H149</f>
        <v>-67362</v>
      </c>
      <c r="J149" s="830" t="s">
        <v>558</v>
      </c>
      <c r="K149" s="836"/>
      <c r="L149" s="836"/>
      <c r="M149" s="837"/>
      <c r="N149" s="833"/>
      <c r="O149" s="833"/>
      <c r="T149" s="800"/>
      <c r="U149" s="800"/>
      <c r="V149" s="800"/>
      <c r="W149" s="800"/>
      <c r="X149" s="800"/>
      <c r="Y149" s="800"/>
      <c r="Z149" s="800"/>
      <c r="AA149" s="800"/>
      <c r="AB149" s="800"/>
      <c r="AC149" s="800"/>
      <c r="AD149" s="800"/>
      <c r="AE149" s="800"/>
      <c r="AF149" s="800"/>
      <c r="AG149" s="800"/>
      <c r="AH149" s="800"/>
      <c r="AI149" s="800"/>
    </row>
    <row r="150" spans="1:35" s="803" customFormat="1" ht="12" x14ac:dyDescent="0.3">
      <c r="A150" s="784">
        <v>7.1</v>
      </c>
      <c r="B150" s="770" t="s">
        <v>564</v>
      </c>
      <c r="C150" s="829">
        <f>90*3</f>
        <v>270</v>
      </c>
      <c r="D150" s="844" t="s">
        <v>27</v>
      </c>
      <c r="E150" s="829">
        <v>30</v>
      </c>
      <c r="F150" s="870">
        <f>C150*E150</f>
        <v>8100</v>
      </c>
      <c r="G150" s="876">
        <f>IF(F150="","",F150/$F$5)</f>
        <v>16.875</v>
      </c>
      <c r="H150" s="877"/>
      <c r="I150" s="878"/>
      <c r="J150" s="825" t="s">
        <v>627</v>
      </c>
      <c r="K150" s="836"/>
      <c r="L150" s="836"/>
      <c r="M150" s="837"/>
      <c r="N150" s="833"/>
      <c r="O150" s="833"/>
      <c r="T150" s="800"/>
      <c r="U150" s="800"/>
      <c r="V150" s="800"/>
      <c r="W150" s="800"/>
      <c r="X150" s="800"/>
      <c r="Y150" s="800"/>
      <c r="Z150" s="800"/>
      <c r="AA150" s="800"/>
      <c r="AB150" s="800"/>
      <c r="AC150" s="800"/>
      <c r="AD150" s="800"/>
      <c r="AE150" s="800"/>
      <c r="AF150" s="800"/>
      <c r="AG150" s="800"/>
      <c r="AH150" s="800"/>
      <c r="AI150" s="800"/>
    </row>
    <row r="151" spans="1:35" s="803" customFormat="1" ht="23" x14ac:dyDescent="0.3">
      <c r="A151" s="784">
        <v>7.2</v>
      </c>
      <c r="B151" s="770" t="s">
        <v>457</v>
      </c>
      <c r="C151" s="829">
        <f>(24*3)+(21*3)</f>
        <v>135</v>
      </c>
      <c r="D151" s="844" t="s">
        <v>27</v>
      </c>
      <c r="E151" s="829">
        <v>100</v>
      </c>
      <c r="F151" s="870">
        <f>C151*E151</f>
        <v>13500</v>
      </c>
      <c r="G151" s="876">
        <f>IF(F151="","",F151/$F$5)</f>
        <v>28.125</v>
      </c>
      <c r="H151" s="877"/>
      <c r="I151" s="878"/>
      <c r="J151" s="839" t="s">
        <v>628</v>
      </c>
      <c r="K151" s="836"/>
      <c r="L151" s="836"/>
      <c r="M151" s="837"/>
      <c r="N151" s="833"/>
      <c r="O151" s="833"/>
      <c r="T151" s="800"/>
      <c r="U151" s="800"/>
      <c r="V151" s="800"/>
      <c r="W151" s="800"/>
      <c r="X151" s="800"/>
      <c r="Y151" s="800"/>
      <c r="Z151" s="800"/>
      <c r="AA151" s="800"/>
      <c r="AB151" s="800"/>
      <c r="AC151" s="800"/>
      <c r="AD151" s="800"/>
      <c r="AE151" s="800"/>
      <c r="AF151" s="800"/>
      <c r="AG151" s="800"/>
      <c r="AH151" s="800"/>
      <c r="AI151" s="800"/>
    </row>
    <row r="152" spans="1:35" s="803" customFormat="1" ht="12" x14ac:dyDescent="0.3">
      <c r="A152" s="784">
        <v>7.3</v>
      </c>
      <c r="B152" s="996" t="s">
        <v>458</v>
      </c>
      <c r="C152" s="829">
        <v>0</v>
      </c>
      <c r="D152" s="844" t="s">
        <v>27</v>
      </c>
      <c r="E152" s="997">
        <v>650</v>
      </c>
      <c r="F152" s="870">
        <f>C152*E152</f>
        <v>0</v>
      </c>
      <c r="G152" s="876">
        <f>IF(F152="","",F152/$F$5)</f>
        <v>0</v>
      </c>
      <c r="H152" s="877"/>
      <c r="I152" s="878"/>
      <c r="J152" s="825" t="s">
        <v>631</v>
      </c>
      <c r="K152" s="836"/>
      <c r="L152" s="836"/>
      <c r="M152" s="837"/>
      <c r="N152" s="833"/>
      <c r="O152" s="833"/>
      <c r="T152" s="800"/>
      <c r="U152" s="800"/>
      <c r="V152" s="800"/>
      <c r="W152" s="800"/>
      <c r="X152" s="800"/>
      <c r="Y152" s="800"/>
      <c r="Z152" s="800"/>
      <c r="AA152" s="800"/>
      <c r="AB152" s="800"/>
      <c r="AC152" s="800"/>
      <c r="AD152" s="800"/>
      <c r="AE152" s="800"/>
      <c r="AF152" s="800"/>
      <c r="AG152" s="800"/>
      <c r="AH152" s="800"/>
      <c r="AI152" s="800"/>
    </row>
    <row r="153" spans="1:35" s="803" customFormat="1" ht="12" x14ac:dyDescent="0.3">
      <c r="A153" s="784"/>
      <c r="B153" s="770"/>
      <c r="C153" s="829"/>
      <c r="D153" s="882"/>
      <c r="E153" s="829"/>
      <c r="F153" s="829"/>
      <c r="G153" s="829"/>
      <c r="H153" s="877"/>
      <c r="I153" s="878"/>
      <c r="J153" s="825"/>
      <c r="K153" s="836"/>
      <c r="L153" s="836"/>
      <c r="M153" s="837"/>
      <c r="N153" s="833"/>
      <c r="O153" s="833"/>
      <c r="T153" s="800"/>
      <c r="U153" s="800"/>
      <c r="V153" s="800"/>
      <c r="W153" s="800"/>
      <c r="X153" s="800"/>
      <c r="Y153" s="800"/>
      <c r="Z153" s="800"/>
      <c r="AA153" s="800"/>
      <c r="AB153" s="800"/>
      <c r="AC153" s="800"/>
      <c r="AD153" s="800"/>
      <c r="AE153" s="800"/>
      <c r="AF153" s="800"/>
      <c r="AG153" s="800"/>
      <c r="AH153" s="800"/>
      <c r="AI153" s="800"/>
    </row>
    <row r="154" spans="1:35" s="803" customFormat="1" ht="12" x14ac:dyDescent="0.3">
      <c r="A154" s="783">
        <v>8</v>
      </c>
      <c r="B154" s="774" t="s">
        <v>52</v>
      </c>
      <c r="C154" s="829"/>
      <c r="D154" s="844"/>
      <c r="E154" s="829"/>
      <c r="F154" s="874">
        <f>ROUND(SUBTOTAL(9,F155:F156),-3)</f>
        <v>5000</v>
      </c>
      <c r="G154" s="875">
        <f>IF(F154="","",F154/$G$5)</f>
        <v>10.416666666666666</v>
      </c>
      <c r="H154" s="877"/>
      <c r="I154" s="878"/>
      <c r="J154" s="830" t="s">
        <v>558</v>
      </c>
      <c r="K154" s="836"/>
      <c r="L154" s="836"/>
      <c r="M154" s="837"/>
      <c r="N154" s="833"/>
      <c r="O154" s="833"/>
      <c r="T154" s="800"/>
      <c r="U154" s="800"/>
      <c r="V154" s="800"/>
      <c r="W154" s="800"/>
      <c r="X154" s="800"/>
      <c r="Y154" s="800"/>
      <c r="Z154" s="800"/>
      <c r="AA154" s="800"/>
      <c r="AB154" s="800"/>
      <c r="AC154" s="800"/>
      <c r="AD154" s="800"/>
      <c r="AE154" s="800"/>
      <c r="AF154" s="800"/>
      <c r="AG154" s="800"/>
      <c r="AH154" s="800"/>
      <c r="AI154" s="800"/>
    </row>
    <row r="155" spans="1:35" s="803" customFormat="1" ht="12" x14ac:dyDescent="0.3">
      <c r="A155" s="784">
        <v>8.1</v>
      </c>
      <c r="B155" s="770" t="s">
        <v>626</v>
      </c>
      <c r="C155" s="829">
        <v>1</v>
      </c>
      <c r="D155" s="880" t="s">
        <v>155</v>
      </c>
      <c r="E155" s="829">
        <v>2500</v>
      </c>
      <c r="F155" s="870">
        <f>C155*E155</f>
        <v>2500</v>
      </c>
      <c r="G155" s="876">
        <f>IF(F155="","",F155/$F$5)</f>
        <v>5.208333333333333</v>
      </c>
      <c r="H155" s="877"/>
      <c r="I155" s="878"/>
      <c r="J155" s="825"/>
      <c r="K155" s="836"/>
      <c r="L155" s="836"/>
      <c r="M155" s="837"/>
      <c r="N155" s="833"/>
      <c r="O155" s="833"/>
      <c r="T155" s="800"/>
      <c r="U155" s="800"/>
      <c r="V155" s="800"/>
      <c r="W155" s="800"/>
      <c r="X155" s="800"/>
      <c r="Y155" s="800"/>
      <c r="Z155" s="800"/>
      <c r="AA155" s="800"/>
      <c r="AB155" s="800"/>
      <c r="AC155" s="800"/>
      <c r="AD155" s="800"/>
      <c r="AE155" s="800"/>
      <c r="AF155" s="800"/>
      <c r="AG155" s="800"/>
      <c r="AH155" s="800"/>
      <c r="AI155" s="800"/>
    </row>
    <row r="156" spans="1:35" s="803" customFormat="1" ht="12" x14ac:dyDescent="0.3">
      <c r="A156" s="784">
        <v>8.1999999999999993</v>
      </c>
      <c r="B156" s="770" t="s">
        <v>625</v>
      </c>
      <c r="C156" s="829">
        <v>2</v>
      </c>
      <c r="D156" s="880" t="s">
        <v>155</v>
      </c>
      <c r="E156" s="829">
        <v>1200</v>
      </c>
      <c r="F156" s="870">
        <f>C156*E156</f>
        <v>2400</v>
      </c>
      <c r="G156" s="876">
        <f>IF(F156="","",F156/$F$5)</f>
        <v>5</v>
      </c>
      <c r="H156" s="877"/>
      <c r="I156" s="878"/>
      <c r="J156" s="825" t="s">
        <v>632</v>
      </c>
      <c r="K156" s="836"/>
      <c r="L156" s="836"/>
      <c r="M156" s="837"/>
      <c r="N156" s="833"/>
      <c r="O156" s="833"/>
      <c r="T156" s="800"/>
      <c r="U156" s="800"/>
      <c r="V156" s="800"/>
      <c r="W156" s="800"/>
      <c r="X156" s="800"/>
      <c r="Y156" s="800"/>
      <c r="Z156" s="800"/>
      <c r="AA156" s="800"/>
      <c r="AB156" s="800"/>
      <c r="AC156" s="800"/>
      <c r="AD156" s="800"/>
      <c r="AE156" s="800"/>
      <c r="AF156" s="800"/>
      <c r="AG156" s="800"/>
      <c r="AH156" s="800"/>
      <c r="AI156" s="800"/>
    </row>
    <row r="157" spans="1:35" s="803" customFormat="1" ht="12" x14ac:dyDescent="0.3">
      <c r="A157" s="784"/>
      <c r="B157" s="965"/>
      <c r="C157" s="966"/>
      <c r="D157" s="967"/>
      <c r="E157" s="966"/>
      <c r="F157" s="971"/>
      <c r="G157" s="759"/>
      <c r="H157" s="968"/>
      <c r="I157" s="969"/>
      <c r="J157" s="970"/>
      <c r="K157" s="836"/>
      <c r="L157" s="836"/>
      <c r="M157" s="837"/>
      <c r="N157" s="833"/>
      <c r="O157" s="833"/>
      <c r="T157" s="800"/>
      <c r="U157" s="800"/>
      <c r="V157" s="800"/>
      <c r="W157" s="800"/>
      <c r="X157" s="800"/>
      <c r="Y157" s="800"/>
      <c r="Z157" s="800"/>
      <c r="AA157" s="800"/>
      <c r="AB157" s="800"/>
      <c r="AC157" s="800"/>
      <c r="AD157" s="800"/>
      <c r="AE157" s="800"/>
      <c r="AF157" s="800"/>
      <c r="AG157" s="800"/>
      <c r="AH157" s="800"/>
      <c r="AI157" s="800"/>
    </row>
    <row r="158" spans="1:35" s="803" customFormat="1" ht="11.5" x14ac:dyDescent="0.3">
      <c r="A158" s="783">
        <v>9</v>
      </c>
      <c r="B158" s="775" t="s">
        <v>238</v>
      </c>
      <c r="C158" s="829"/>
      <c r="D158" s="844"/>
      <c r="E158" s="829"/>
      <c r="F158" s="874" t="e">
        <f>ROUND(SUBTOTAL(9,F159:F168),-3)</f>
        <v>#REF!</v>
      </c>
      <c r="G158" s="875" t="e">
        <f>IF(F158="","",F158/$G$5)</f>
        <v>#REF!</v>
      </c>
      <c r="H158" s="874">
        <f>982*25</f>
        <v>24550</v>
      </c>
      <c r="I158" s="873" t="e">
        <f>F158-H158</f>
        <v>#REF!</v>
      </c>
      <c r="J158" s="830" t="s">
        <v>558</v>
      </c>
      <c r="K158" s="836"/>
      <c r="L158" s="836"/>
      <c r="M158" s="837"/>
      <c r="N158" s="833"/>
      <c r="O158" s="833"/>
      <c r="T158" s="800"/>
      <c r="U158" s="800"/>
      <c r="V158" s="800"/>
      <c r="W158" s="800"/>
      <c r="X158" s="800"/>
      <c r="Y158" s="800"/>
      <c r="Z158" s="800"/>
      <c r="AA158" s="800"/>
      <c r="AB158" s="800"/>
      <c r="AC158" s="800"/>
      <c r="AD158" s="800"/>
      <c r="AE158" s="800"/>
      <c r="AF158" s="800"/>
      <c r="AG158" s="800"/>
      <c r="AH158" s="800"/>
      <c r="AI158" s="800"/>
    </row>
    <row r="159" spans="1:35" s="803" customFormat="1" ht="12" x14ac:dyDescent="0.3">
      <c r="A159" s="785">
        <v>9.1</v>
      </c>
      <c r="B159" s="776" t="s">
        <v>459</v>
      </c>
      <c r="C159" s="829"/>
      <c r="D159" s="880"/>
      <c r="E159" s="881"/>
      <c r="F159" s="870"/>
      <c r="G159" s="876"/>
      <c r="H159" s="877"/>
      <c r="I159" s="878"/>
      <c r="J159" s="825"/>
      <c r="K159" s="836"/>
      <c r="L159" s="836"/>
      <c r="M159" s="837"/>
      <c r="N159" s="833"/>
      <c r="O159" s="833"/>
      <c r="T159" s="800"/>
      <c r="U159" s="800"/>
      <c r="V159" s="800"/>
      <c r="W159" s="800"/>
      <c r="X159" s="800"/>
      <c r="Y159" s="800"/>
      <c r="Z159" s="800"/>
      <c r="AA159" s="800"/>
      <c r="AB159" s="800"/>
      <c r="AC159" s="800"/>
      <c r="AD159" s="800"/>
      <c r="AE159" s="800"/>
      <c r="AF159" s="800"/>
      <c r="AG159" s="800"/>
      <c r="AH159" s="800"/>
      <c r="AI159" s="800"/>
    </row>
    <row r="160" spans="1:35" s="803" customFormat="1" ht="12" x14ac:dyDescent="0.3">
      <c r="A160" s="784" t="s">
        <v>460</v>
      </c>
      <c r="B160" s="770" t="s">
        <v>468</v>
      </c>
      <c r="C160" s="829">
        <f>C150+C151*2-C161</f>
        <v>488</v>
      </c>
      <c r="D160" s="880" t="s">
        <v>27</v>
      </c>
      <c r="E160" s="881">
        <v>7</v>
      </c>
      <c r="F160" s="870">
        <f>C160*E160</f>
        <v>3416</v>
      </c>
      <c r="G160" s="876">
        <f>IF(F160="","",F160/$F$5)</f>
        <v>7.1166666666666663</v>
      </c>
      <c r="H160" s="877"/>
      <c r="I160" s="878"/>
      <c r="J160" s="825"/>
      <c r="K160" s="836"/>
      <c r="L160" s="836"/>
      <c r="M160" s="837"/>
      <c r="N160" s="833"/>
      <c r="O160" s="833"/>
      <c r="T160" s="800"/>
      <c r="U160" s="800"/>
      <c r="V160" s="800"/>
      <c r="W160" s="800"/>
      <c r="X160" s="800"/>
      <c r="Y160" s="800"/>
      <c r="Z160" s="800"/>
      <c r="AA160" s="800"/>
      <c r="AB160" s="800"/>
      <c r="AC160" s="800"/>
      <c r="AD160" s="800"/>
      <c r="AE160" s="800"/>
      <c r="AF160" s="800"/>
      <c r="AG160" s="800"/>
      <c r="AH160" s="800"/>
      <c r="AI160" s="800"/>
    </row>
    <row r="161" spans="1:35" s="803" customFormat="1" ht="12" x14ac:dyDescent="0.3">
      <c r="A161" s="784" t="s">
        <v>461</v>
      </c>
      <c r="B161" s="770" t="s">
        <v>629</v>
      </c>
      <c r="C161" s="829">
        <f>(48)+4</f>
        <v>52</v>
      </c>
      <c r="D161" s="880" t="s">
        <v>27</v>
      </c>
      <c r="E161" s="881">
        <v>70</v>
      </c>
      <c r="F161" s="870">
        <f>C161*E161</f>
        <v>3640</v>
      </c>
      <c r="G161" s="876">
        <f>IF(F161="","",F161/$F$5)</f>
        <v>7.583333333333333</v>
      </c>
      <c r="H161" s="877"/>
      <c r="I161" s="878"/>
      <c r="J161" s="825" t="s">
        <v>635</v>
      </c>
      <c r="K161" s="836"/>
      <c r="L161" s="836"/>
      <c r="M161" s="837"/>
      <c r="N161" s="833"/>
      <c r="O161" s="833"/>
      <c r="T161" s="800"/>
      <c r="U161" s="800"/>
      <c r="V161" s="800"/>
      <c r="W161" s="800"/>
      <c r="X161" s="800"/>
      <c r="Y161" s="800"/>
      <c r="Z161" s="800"/>
      <c r="AA161" s="800"/>
      <c r="AB161" s="800"/>
      <c r="AC161" s="800"/>
      <c r="AD161" s="800"/>
      <c r="AE161" s="800"/>
      <c r="AF161" s="800"/>
      <c r="AG161" s="800"/>
      <c r="AH161" s="800"/>
      <c r="AI161" s="800"/>
    </row>
    <row r="162" spans="1:35" s="803" customFormat="1" ht="12" x14ac:dyDescent="0.3">
      <c r="A162" s="785">
        <v>9.1999999999999993</v>
      </c>
      <c r="B162" s="776" t="s">
        <v>223</v>
      </c>
      <c r="C162" s="829"/>
      <c r="D162" s="880"/>
      <c r="E162" s="881"/>
      <c r="F162" s="870"/>
      <c r="G162" s="876"/>
      <c r="H162" s="877"/>
      <c r="I162" s="878"/>
      <c r="J162" s="825"/>
      <c r="K162" s="836"/>
      <c r="L162" s="836"/>
      <c r="M162" s="837"/>
      <c r="N162" s="833"/>
      <c r="O162" s="833"/>
      <c r="T162" s="800"/>
      <c r="U162" s="800"/>
      <c r="V162" s="800"/>
      <c r="W162" s="800"/>
      <c r="X162" s="800"/>
      <c r="Y162" s="800"/>
      <c r="Z162" s="800"/>
      <c r="AA162" s="800"/>
      <c r="AB162" s="800"/>
      <c r="AC162" s="800"/>
      <c r="AD162" s="800"/>
      <c r="AE162" s="800"/>
      <c r="AF162" s="800"/>
      <c r="AG162" s="800"/>
      <c r="AH162" s="800"/>
      <c r="AI162" s="800"/>
    </row>
    <row r="163" spans="1:35" s="803" customFormat="1" ht="12" x14ac:dyDescent="0.3">
      <c r="A163" s="784" t="s">
        <v>462</v>
      </c>
      <c r="B163" s="770" t="s">
        <v>469</v>
      </c>
      <c r="C163" s="829" t="e">
        <f>C12</f>
        <v>#REF!</v>
      </c>
      <c r="D163" s="880" t="s">
        <v>27</v>
      </c>
      <c r="E163" s="829">
        <v>45</v>
      </c>
      <c r="F163" s="870" t="e">
        <f>C163*E163</f>
        <v>#REF!</v>
      </c>
      <c r="G163" s="876" t="e">
        <f>IF(F163="","",F163/$F$5)</f>
        <v>#REF!</v>
      </c>
      <c r="H163" s="877"/>
      <c r="I163" s="878"/>
      <c r="J163" s="839" t="s">
        <v>568</v>
      </c>
      <c r="K163" s="836"/>
      <c r="L163" s="836"/>
      <c r="M163" s="837"/>
      <c r="N163" s="833"/>
      <c r="O163" s="833"/>
      <c r="T163" s="800"/>
      <c r="U163" s="800"/>
      <c r="V163" s="800"/>
      <c r="W163" s="800"/>
      <c r="X163" s="800"/>
      <c r="Y163" s="800"/>
      <c r="Z163" s="800"/>
      <c r="AA163" s="800"/>
      <c r="AB163" s="800"/>
      <c r="AC163" s="800"/>
      <c r="AD163" s="800"/>
      <c r="AE163" s="800"/>
      <c r="AF163" s="800"/>
      <c r="AG163" s="800"/>
      <c r="AH163" s="800"/>
      <c r="AI163" s="800"/>
    </row>
    <row r="164" spans="1:35" s="803" customFormat="1" ht="12" x14ac:dyDescent="0.3">
      <c r="A164" s="784" t="s">
        <v>463</v>
      </c>
      <c r="B164" s="770" t="s">
        <v>470</v>
      </c>
      <c r="C164" s="829" t="e">
        <f>C163-C165</f>
        <v>#REF!</v>
      </c>
      <c r="D164" s="880" t="s">
        <v>27</v>
      </c>
      <c r="E164" s="883">
        <v>30</v>
      </c>
      <c r="F164" s="870" t="e">
        <f>C164*E164</f>
        <v>#REF!</v>
      </c>
      <c r="G164" s="876" t="e">
        <f>IF(F164="","",F164/$F$5)</f>
        <v>#REF!</v>
      </c>
      <c r="H164" s="877"/>
      <c r="I164" s="878"/>
      <c r="J164" s="839"/>
      <c r="K164" s="836"/>
      <c r="L164" s="836"/>
      <c r="M164" s="837"/>
      <c r="N164" s="833"/>
      <c r="O164" s="833"/>
      <c r="T164" s="800"/>
      <c r="U164" s="800"/>
      <c r="V164" s="800"/>
      <c r="W164" s="800"/>
      <c r="X164" s="800"/>
      <c r="Y164" s="800"/>
      <c r="Z164" s="800"/>
      <c r="AA164" s="800"/>
      <c r="AB164" s="800"/>
      <c r="AC164" s="800"/>
      <c r="AD164" s="800"/>
      <c r="AE164" s="800"/>
      <c r="AF164" s="800"/>
      <c r="AG164" s="800"/>
      <c r="AH164" s="800"/>
      <c r="AI164" s="800"/>
    </row>
    <row r="165" spans="1:35" s="803" customFormat="1" ht="12" x14ac:dyDescent="0.3">
      <c r="A165" s="784" t="s">
        <v>464</v>
      </c>
      <c r="B165" s="770" t="s">
        <v>471</v>
      </c>
      <c r="C165" s="829">
        <v>8</v>
      </c>
      <c r="D165" s="880" t="s">
        <v>27</v>
      </c>
      <c r="E165" s="883">
        <v>80</v>
      </c>
      <c r="F165" s="870">
        <f>C165*E165</f>
        <v>640</v>
      </c>
      <c r="G165" s="876">
        <f>IF(F165="","",F165/$F$5)</f>
        <v>1.3333333333333333</v>
      </c>
      <c r="H165" s="877"/>
      <c r="I165" s="878"/>
      <c r="J165" s="825"/>
      <c r="K165" s="836"/>
      <c r="L165" s="836"/>
      <c r="M165" s="837"/>
      <c r="N165" s="833"/>
      <c r="O165" s="833"/>
      <c r="T165" s="800"/>
      <c r="U165" s="800"/>
      <c r="V165" s="800"/>
      <c r="W165" s="800"/>
      <c r="X165" s="800"/>
      <c r="Y165" s="800"/>
      <c r="Z165" s="800"/>
      <c r="AA165" s="800"/>
      <c r="AB165" s="800"/>
      <c r="AC165" s="800"/>
      <c r="AD165" s="800"/>
      <c r="AE165" s="800"/>
      <c r="AF165" s="800"/>
      <c r="AG165" s="800"/>
      <c r="AH165" s="800"/>
      <c r="AI165" s="800"/>
    </row>
    <row r="166" spans="1:35" s="803" customFormat="1" ht="12" x14ac:dyDescent="0.3">
      <c r="A166" s="784" t="s">
        <v>465</v>
      </c>
      <c r="B166" s="770" t="s">
        <v>472</v>
      </c>
      <c r="C166" s="829">
        <f>ROUND(90+((C151/3)*2),0)</f>
        <v>180</v>
      </c>
      <c r="D166" s="844" t="s">
        <v>153</v>
      </c>
      <c r="E166" s="829">
        <v>25</v>
      </c>
      <c r="F166" s="870">
        <f>C166*E166</f>
        <v>4500</v>
      </c>
      <c r="G166" s="876">
        <f>IF(F166="","",F166/$F$5)</f>
        <v>9.375</v>
      </c>
      <c r="H166" s="877"/>
      <c r="I166" s="878" t="str">
        <f>IF(H166="","",F166-H166)</f>
        <v/>
      </c>
      <c r="J166" s="825"/>
      <c r="K166" s="836"/>
      <c r="L166" s="836"/>
      <c r="M166" s="837"/>
      <c r="N166" s="833"/>
      <c r="O166" s="833"/>
      <c r="T166" s="800"/>
      <c r="U166" s="800"/>
      <c r="V166" s="800"/>
      <c r="W166" s="800"/>
      <c r="X166" s="800"/>
      <c r="Y166" s="800"/>
      <c r="Z166" s="800"/>
      <c r="AA166" s="800"/>
      <c r="AB166" s="800"/>
      <c r="AC166" s="800"/>
      <c r="AD166" s="800"/>
      <c r="AE166" s="800"/>
      <c r="AF166" s="800"/>
      <c r="AG166" s="800"/>
      <c r="AH166" s="800"/>
      <c r="AI166" s="800"/>
    </row>
    <row r="167" spans="1:35" s="803" customFormat="1" ht="12" x14ac:dyDescent="0.3">
      <c r="A167" s="785">
        <v>9.3000000000000007</v>
      </c>
      <c r="B167" s="867" t="s">
        <v>467</v>
      </c>
      <c r="C167" s="829"/>
      <c r="D167" s="844"/>
      <c r="E167" s="829"/>
      <c r="F167" s="870"/>
      <c r="G167" s="876"/>
      <c r="H167" s="877"/>
      <c r="I167" s="878" t="str">
        <f>IF(H167="","",F167-H167)</f>
        <v/>
      </c>
      <c r="J167" s="825"/>
      <c r="K167" s="836"/>
      <c r="L167" s="836"/>
      <c r="M167" s="837"/>
      <c r="N167" s="833"/>
      <c r="O167" s="833"/>
      <c r="T167" s="800"/>
      <c r="U167" s="800"/>
      <c r="V167" s="800"/>
      <c r="W167" s="800"/>
      <c r="X167" s="800"/>
      <c r="Y167" s="800"/>
      <c r="Z167" s="800"/>
      <c r="AA167" s="800"/>
      <c r="AB167" s="800"/>
      <c r="AC167" s="800"/>
      <c r="AD167" s="800"/>
      <c r="AE167" s="800"/>
      <c r="AF167" s="800"/>
      <c r="AG167" s="800"/>
      <c r="AH167" s="800"/>
      <c r="AI167" s="800"/>
    </row>
    <row r="168" spans="1:35" s="803" customFormat="1" ht="12" x14ac:dyDescent="0.3">
      <c r="A168" s="784" t="s">
        <v>466</v>
      </c>
      <c r="B168" s="777" t="s">
        <v>562</v>
      </c>
      <c r="C168" s="829" t="e">
        <f>C163</f>
        <v>#REF!</v>
      </c>
      <c r="D168" s="880" t="s">
        <v>27</v>
      </c>
      <c r="E168" s="829">
        <v>35</v>
      </c>
      <c r="F168" s="870" t="e">
        <f>C168*E168</f>
        <v>#REF!</v>
      </c>
      <c r="G168" s="876" t="e">
        <f>IF(F168="","",F168/$F$5)</f>
        <v>#REF!</v>
      </c>
      <c r="H168" s="877"/>
      <c r="I168" s="878"/>
      <c r="J168" s="839" t="s">
        <v>569</v>
      </c>
      <c r="K168" s="836"/>
      <c r="L168" s="836"/>
      <c r="M168" s="837"/>
      <c r="N168" s="833"/>
      <c r="O168" s="833"/>
      <c r="T168" s="800"/>
      <c r="U168" s="800"/>
      <c r="V168" s="800"/>
      <c r="W168" s="800"/>
      <c r="X168" s="800"/>
      <c r="Y168" s="800"/>
      <c r="Z168" s="800"/>
      <c r="AA168" s="800"/>
      <c r="AB168" s="800"/>
      <c r="AC168" s="800"/>
      <c r="AD168" s="800"/>
      <c r="AE168" s="800"/>
      <c r="AF168" s="800"/>
      <c r="AG168" s="800"/>
      <c r="AH168" s="800"/>
      <c r="AI168" s="800"/>
    </row>
    <row r="169" spans="1:35" s="803" customFormat="1" ht="12" x14ac:dyDescent="0.3">
      <c r="A169" s="784"/>
      <c r="B169" s="777"/>
      <c r="C169" s="829"/>
      <c r="D169" s="844"/>
      <c r="E169" s="829"/>
      <c r="F169" s="870"/>
      <c r="G169" s="871"/>
      <c r="H169" s="877"/>
      <c r="I169" s="878"/>
      <c r="J169" s="825"/>
      <c r="K169" s="836"/>
      <c r="L169" s="836"/>
      <c r="M169" s="837"/>
      <c r="N169" s="833"/>
      <c r="O169" s="833"/>
      <c r="T169" s="800"/>
      <c r="U169" s="800"/>
      <c r="V169" s="800"/>
      <c r="W169" s="800"/>
      <c r="X169" s="800"/>
      <c r="Y169" s="800"/>
      <c r="Z169" s="800"/>
      <c r="AA169" s="800"/>
      <c r="AB169" s="800"/>
      <c r="AC169" s="800"/>
      <c r="AD169" s="800"/>
      <c r="AE169" s="800"/>
      <c r="AF169" s="800"/>
      <c r="AG169" s="800"/>
      <c r="AH169" s="800"/>
      <c r="AI169" s="800"/>
    </row>
    <row r="170" spans="1:35" s="803" customFormat="1" ht="11.5" x14ac:dyDescent="0.3">
      <c r="A170" s="783">
        <v>10</v>
      </c>
      <c r="B170" s="774" t="s">
        <v>165</v>
      </c>
      <c r="C170" s="829"/>
      <c r="D170" s="844"/>
      <c r="E170" s="829"/>
      <c r="F170" s="874">
        <f>ROUND(SUBTOTAL(9,F171:F172),-3)</f>
        <v>15000</v>
      </c>
      <c r="G170" s="875">
        <f>IF(F170="","",F170/$G$5)</f>
        <v>31.25</v>
      </c>
      <c r="H170" s="874">
        <f>982*40</f>
        <v>39280</v>
      </c>
      <c r="I170" s="873">
        <f>F170-H170</f>
        <v>-24280</v>
      </c>
      <c r="J170" s="830" t="s">
        <v>558</v>
      </c>
      <c r="K170" s="836"/>
      <c r="L170" s="836"/>
      <c r="M170" s="837"/>
      <c r="N170" s="833"/>
      <c r="O170" s="833"/>
      <c r="T170" s="800"/>
      <c r="U170" s="800"/>
      <c r="V170" s="800"/>
      <c r="W170" s="800"/>
      <c r="X170" s="800"/>
      <c r="Y170" s="800"/>
      <c r="Z170" s="800"/>
      <c r="AA170" s="800"/>
      <c r="AB170" s="800"/>
      <c r="AC170" s="800"/>
      <c r="AD170" s="800"/>
      <c r="AE170" s="800"/>
      <c r="AF170" s="800"/>
      <c r="AG170" s="800"/>
      <c r="AH170" s="800"/>
      <c r="AI170" s="800"/>
    </row>
    <row r="171" spans="1:35" s="803" customFormat="1" ht="12" x14ac:dyDescent="0.3">
      <c r="A171" s="786">
        <v>10.1</v>
      </c>
      <c r="B171" s="770" t="s">
        <v>473</v>
      </c>
      <c r="C171" s="829">
        <v>1</v>
      </c>
      <c r="D171" s="880" t="s">
        <v>158</v>
      </c>
      <c r="E171" s="829">
        <v>3000</v>
      </c>
      <c r="F171" s="870">
        <f>C171*E171</f>
        <v>3000</v>
      </c>
      <c r="G171" s="876">
        <f>IF(F171="","",F171/$F$5)</f>
        <v>6.25</v>
      </c>
      <c r="H171" s="877"/>
      <c r="I171" s="878"/>
      <c r="J171" s="839" t="s">
        <v>554</v>
      </c>
      <c r="K171" s="836"/>
      <c r="L171" s="836"/>
      <c r="M171" s="837"/>
      <c r="N171" s="833"/>
      <c r="O171" s="833"/>
      <c r="T171" s="800"/>
      <c r="U171" s="800"/>
      <c r="V171" s="800"/>
      <c r="W171" s="800"/>
      <c r="X171" s="800"/>
      <c r="Y171" s="800"/>
      <c r="Z171" s="800"/>
      <c r="AA171" s="800"/>
      <c r="AB171" s="800"/>
      <c r="AC171" s="800"/>
      <c r="AD171" s="800"/>
      <c r="AE171" s="800"/>
      <c r="AF171" s="800"/>
      <c r="AG171" s="800"/>
      <c r="AH171" s="800"/>
      <c r="AI171" s="800"/>
    </row>
    <row r="172" spans="1:35" s="803" customFormat="1" ht="12" x14ac:dyDescent="0.3">
      <c r="A172" s="786">
        <v>10.199999999999999</v>
      </c>
      <c r="B172" s="770" t="s">
        <v>474</v>
      </c>
      <c r="C172" s="829">
        <v>2</v>
      </c>
      <c r="D172" s="882" t="s">
        <v>155</v>
      </c>
      <c r="E172" s="829">
        <v>6000</v>
      </c>
      <c r="F172" s="870">
        <f>C172*E172</f>
        <v>12000</v>
      </c>
      <c r="G172" s="876">
        <f>IF(F172="","",F172/$F$5)</f>
        <v>25</v>
      </c>
      <c r="H172" s="877"/>
      <c r="I172" s="878"/>
      <c r="J172" s="839" t="s">
        <v>554</v>
      </c>
      <c r="K172" s="836"/>
      <c r="L172" s="836"/>
      <c r="M172" s="837"/>
      <c r="N172" s="833"/>
      <c r="O172" s="833"/>
      <c r="T172" s="800"/>
      <c r="U172" s="800"/>
      <c r="V172" s="800"/>
      <c r="W172" s="800"/>
      <c r="X172" s="800"/>
      <c r="Y172" s="800"/>
      <c r="Z172" s="800"/>
      <c r="AA172" s="800"/>
      <c r="AB172" s="800"/>
      <c r="AC172" s="800"/>
      <c r="AD172" s="800"/>
      <c r="AE172" s="800"/>
      <c r="AF172" s="800"/>
      <c r="AG172" s="800"/>
      <c r="AH172" s="800"/>
      <c r="AI172" s="800"/>
    </row>
    <row r="173" spans="1:35" s="803" customFormat="1" ht="12" x14ac:dyDescent="0.3">
      <c r="A173" s="786"/>
      <c r="B173" s="770"/>
      <c r="C173" s="829"/>
      <c r="D173" s="882"/>
      <c r="E173" s="829"/>
      <c r="F173" s="870"/>
      <c r="G173" s="876"/>
      <c r="H173" s="877"/>
      <c r="I173" s="878"/>
      <c r="J173" s="839"/>
      <c r="K173" s="836"/>
      <c r="L173" s="836"/>
      <c r="M173" s="837"/>
      <c r="N173" s="833"/>
      <c r="O173" s="833"/>
      <c r="T173" s="800"/>
      <c r="U173" s="800"/>
      <c r="V173" s="800"/>
      <c r="W173" s="800"/>
      <c r="X173" s="800"/>
      <c r="Y173" s="800"/>
      <c r="Z173" s="800"/>
      <c r="AA173" s="800"/>
      <c r="AB173" s="800"/>
      <c r="AC173" s="800"/>
      <c r="AD173" s="800"/>
      <c r="AE173" s="800"/>
      <c r="AF173" s="800"/>
      <c r="AG173" s="800"/>
      <c r="AH173" s="800"/>
      <c r="AI173" s="800"/>
    </row>
    <row r="174" spans="1:35" s="803" customFormat="1" ht="11.5" x14ac:dyDescent="0.3">
      <c r="A174" s="783">
        <v>11</v>
      </c>
      <c r="B174" s="774" t="s">
        <v>559</v>
      </c>
      <c r="C174" s="829"/>
      <c r="D174" s="844"/>
      <c r="E174" s="829"/>
      <c r="F174" s="874">
        <f>ROUND(SUBTOTAL(9,F175:F212),-3)</f>
        <v>310000</v>
      </c>
      <c r="G174" s="875">
        <f>IF(F174="","",F174/$G$5)</f>
        <v>645.83333333333337</v>
      </c>
      <c r="H174" s="874">
        <f>982*398</f>
        <v>390836</v>
      </c>
      <c r="I174" s="873">
        <f>F174-H174</f>
        <v>-80836</v>
      </c>
      <c r="J174" s="830" t="s">
        <v>558</v>
      </c>
      <c r="K174" s="836"/>
      <c r="L174" s="836"/>
      <c r="M174" s="837"/>
      <c r="N174" s="833"/>
      <c r="O174" s="833"/>
      <c r="T174" s="800"/>
      <c r="U174" s="800"/>
      <c r="V174" s="800"/>
      <c r="W174" s="800"/>
      <c r="X174" s="800"/>
      <c r="Y174" s="800"/>
      <c r="Z174" s="800"/>
      <c r="AA174" s="800"/>
      <c r="AB174" s="800"/>
      <c r="AC174" s="800"/>
      <c r="AD174" s="800"/>
      <c r="AE174" s="800"/>
      <c r="AF174" s="800"/>
      <c r="AG174" s="800"/>
      <c r="AH174" s="800"/>
      <c r="AI174" s="800"/>
    </row>
    <row r="175" spans="1:35" s="803" customFormat="1" ht="11.5" x14ac:dyDescent="0.3">
      <c r="A175" s="785">
        <v>11.1</v>
      </c>
      <c r="B175" s="867" t="s">
        <v>636</v>
      </c>
      <c r="C175" s="829"/>
      <c r="D175" s="844"/>
      <c r="E175" s="829"/>
      <c r="F175" s="874"/>
      <c r="G175" s="875"/>
      <c r="H175" s="987"/>
      <c r="I175" s="969"/>
      <c r="J175" s="830"/>
      <c r="K175" s="836"/>
      <c r="L175" s="836"/>
      <c r="M175" s="837"/>
      <c r="N175" s="833"/>
      <c r="O175" s="833"/>
      <c r="T175" s="800"/>
      <c r="U175" s="800"/>
      <c r="V175" s="800"/>
      <c r="W175" s="800"/>
      <c r="X175" s="800"/>
      <c r="Y175" s="800"/>
      <c r="Z175" s="800"/>
      <c r="AA175" s="800"/>
      <c r="AB175" s="800"/>
      <c r="AC175" s="800"/>
      <c r="AD175" s="800"/>
      <c r="AE175" s="800"/>
      <c r="AF175" s="800"/>
      <c r="AG175" s="800"/>
      <c r="AH175" s="800"/>
      <c r="AI175" s="800"/>
    </row>
    <row r="176" spans="1:35" s="803" customFormat="1" ht="12" x14ac:dyDescent="0.3">
      <c r="A176" s="784" t="s">
        <v>406</v>
      </c>
      <c r="B176" s="777" t="s">
        <v>586</v>
      </c>
      <c r="C176" s="829">
        <v>6</v>
      </c>
      <c r="D176" s="844" t="s">
        <v>155</v>
      </c>
      <c r="E176" s="829">
        <v>400</v>
      </c>
      <c r="F176" s="870">
        <f>C176*E176</f>
        <v>2400</v>
      </c>
      <c r="G176" s="876">
        <f>IF(F176="","",F176/$F$5)</f>
        <v>5</v>
      </c>
      <c r="H176" s="987"/>
      <c r="I176" s="969"/>
      <c r="J176" s="830" t="s">
        <v>587</v>
      </c>
      <c r="K176" s="836"/>
      <c r="L176" s="836"/>
      <c r="M176" s="837"/>
      <c r="N176" s="833"/>
      <c r="O176" s="833"/>
      <c r="T176" s="800"/>
      <c r="U176" s="800"/>
      <c r="V176" s="800"/>
      <c r="W176" s="800"/>
      <c r="X176" s="800"/>
      <c r="Y176" s="800"/>
      <c r="Z176" s="800"/>
      <c r="AA176" s="800"/>
      <c r="AB176" s="800"/>
      <c r="AC176" s="800"/>
      <c r="AD176" s="800"/>
      <c r="AE176" s="800"/>
      <c r="AF176" s="800"/>
      <c r="AG176" s="800"/>
      <c r="AH176" s="800"/>
      <c r="AI176" s="800"/>
    </row>
    <row r="177" spans="1:35" s="803" customFormat="1" ht="12" x14ac:dyDescent="0.3">
      <c r="A177" s="784" t="s">
        <v>407</v>
      </c>
      <c r="B177" s="777" t="s">
        <v>588</v>
      </c>
      <c r="C177" s="829">
        <v>6</v>
      </c>
      <c r="D177" s="844" t="s">
        <v>155</v>
      </c>
      <c r="E177" s="829">
        <v>250</v>
      </c>
      <c r="F177" s="870">
        <f>C177*E177</f>
        <v>1500</v>
      </c>
      <c r="G177" s="876">
        <f>IF(F177="","",F177/$F$5)</f>
        <v>3.125</v>
      </c>
      <c r="H177" s="987"/>
      <c r="I177" s="969"/>
      <c r="J177" s="830" t="s">
        <v>611</v>
      </c>
      <c r="K177" s="836"/>
      <c r="L177" s="836"/>
      <c r="M177" s="837"/>
      <c r="N177" s="833"/>
      <c r="O177" s="833"/>
      <c r="T177" s="800"/>
      <c r="U177" s="800"/>
      <c r="V177" s="800"/>
      <c r="W177" s="800"/>
      <c r="X177" s="800"/>
      <c r="Y177" s="800"/>
      <c r="Z177" s="800"/>
      <c r="AA177" s="800"/>
      <c r="AB177" s="800"/>
      <c r="AC177" s="800"/>
      <c r="AD177" s="800"/>
      <c r="AE177" s="800"/>
      <c r="AF177" s="800"/>
      <c r="AG177" s="800"/>
      <c r="AH177" s="800"/>
      <c r="AI177" s="800"/>
    </row>
    <row r="178" spans="1:35" s="803" customFormat="1" ht="12" x14ac:dyDescent="0.3">
      <c r="A178" s="784" t="s">
        <v>408</v>
      </c>
      <c r="B178" s="777" t="s">
        <v>589</v>
      </c>
      <c r="C178" s="829">
        <v>2</v>
      </c>
      <c r="D178" s="844" t="s">
        <v>155</v>
      </c>
      <c r="E178" s="829">
        <v>250</v>
      </c>
      <c r="F178" s="870">
        <f>C178*E178</f>
        <v>500</v>
      </c>
      <c r="G178" s="876">
        <f>IF(F178="","",F178/$F$5)</f>
        <v>1.0416666666666667</v>
      </c>
      <c r="H178" s="987"/>
      <c r="I178" s="969"/>
      <c r="J178" s="830" t="s">
        <v>611</v>
      </c>
      <c r="K178" s="836"/>
      <c r="L178" s="836"/>
      <c r="M178" s="837"/>
      <c r="N178" s="833"/>
      <c r="O178" s="833"/>
      <c r="T178" s="800"/>
      <c r="U178" s="800"/>
      <c r="V178" s="800"/>
      <c r="W178" s="800"/>
      <c r="X178" s="800"/>
      <c r="Y178" s="800"/>
      <c r="Z178" s="800"/>
      <c r="AA178" s="800"/>
      <c r="AB178" s="800"/>
      <c r="AC178" s="800"/>
      <c r="AD178" s="800"/>
      <c r="AE178" s="800"/>
      <c r="AF178" s="800"/>
      <c r="AG178" s="800"/>
      <c r="AH178" s="800"/>
      <c r="AI178" s="800"/>
    </row>
    <row r="179" spans="1:35" s="803" customFormat="1" ht="12" x14ac:dyDescent="0.3">
      <c r="A179" s="784" t="s">
        <v>409</v>
      </c>
      <c r="B179" s="777" t="s">
        <v>590</v>
      </c>
      <c r="C179" s="829">
        <v>4</v>
      </c>
      <c r="D179" s="844" t="s">
        <v>155</v>
      </c>
      <c r="E179" s="829">
        <v>675</v>
      </c>
      <c r="F179" s="870">
        <f>C179*E179</f>
        <v>2700</v>
      </c>
      <c r="G179" s="876">
        <f>IF(F179="","",F179/$F$5)</f>
        <v>5.625</v>
      </c>
      <c r="H179" s="987"/>
      <c r="I179" s="969"/>
      <c r="J179" s="830" t="s">
        <v>591</v>
      </c>
      <c r="K179" s="836"/>
      <c r="L179" s="836"/>
      <c r="M179" s="837"/>
      <c r="N179" s="833"/>
      <c r="O179" s="833"/>
      <c r="T179" s="800"/>
      <c r="U179" s="800"/>
      <c r="V179" s="800"/>
      <c r="W179" s="800"/>
      <c r="X179" s="800"/>
      <c r="Y179" s="800"/>
      <c r="Z179" s="800"/>
      <c r="AA179" s="800"/>
      <c r="AB179" s="800"/>
      <c r="AC179" s="800"/>
      <c r="AD179" s="800"/>
      <c r="AE179" s="800"/>
      <c r="AF179" s="800"/>
      <c r="AG179" s="800"/>
      <c r="AH179" s="800"/>
      <c r="AI179" s="800"/>
    </row>
    <row r="180" spans="1:35" s="803" customFormat="1" ht="12" x14ac:dyDescent="0.25">
      <c r="A180" s="785">
        <v>11.2</v>
      </c>
      <c r="B180" s="989" t="s">
        <v>249</v>
      </c>
      <c r="C180" s="829"/>
      <c r="D180" s="844"/>
      <c r="E180" s="829"/>
      <c r="F180" s="870"/>
      <c r="G180" s="876"/>
      <c r="H180" s="890"/>
      <c r="I180" s="891"/>
      <c r="J180" s="825"/>
      <c r="K180" s="836"/>
      <c r="L180" s="836"/>
      <c r="M180" s="837"/>
      <c r="N180" s="833"/>
      <c r="O180" s="833"/>
      <c r="T180" s="800"/>
      <c r="U180" s="800"/>
      <c r="V180" s="800"/>
      <c r="W180" s="800"/>
      <c r="X180" s="800"/>
      <c r="Y180" s="800"/>
      <c r="Z180" s="800"/>
      <c r="AA180" s="800"/>
      <c r="AB180" s="800"/>
      <c r="AC180" s="800"/>
      <c r="AD180" s="800"/>
      <c r="AE180" s="800"/>
      <c r="AF180" s="800"/>
      <c r="AG180" s="800"/>
      <c r="AH180" s="800"/>
      <c r="AI180" s="800"/>
    </row>
    <row r="181" spans="1:35" s="803" customFormat="1" ht="23" x14ac:dyDescent="0.3">
      <c r="A181" s="784" t="s">
        <v>410</v>
      </c>
      <c r="B181" s="770" t="s">
        <v>286</v>
      </c>
      <c r="C181" s="829">
        <v>480</v>
      </c>
      <c r="D181" s="844" t="s">
        <v>27</v>
      </c>
      <c r="E181" s="829">
        <v>25</v>
      </c>
      <c r="F181" s="870">
        <f>C181*E181</f>
        <v>12000</v>
      </c>
      <c r="G181" s="876">
        <f>IF(F181="","",F181/$F$5)</f>
        <v>25</v>
      </c>
      <c r="H181" s="892"/>
      <c r="I181" s="891"/>
      <c r="J181" s="988" t="s">
        <v>592</v>
      </c>
      <c r="K181" s="836"/>
      <c r="L181" s="836"/>
      <c r="M181" s="837"/>
      <c r="N181" s="833"/>
      <c r="O181" s="833"/>
      <c r="T181" s="800"/>
      <c r="U181" s="800"/>
      <c r="V181" s="800"/>
      <c r="W181" s="800"/>
      <c r="X181" s="800"/>
      <c r="Y181" s="800"/>
      <c r="Z181" s="800"/>
      <c r="AA181" s="800"/>
      <c r="AB181" s="800"/>
      <c r="AC181" s="800"/>
      <c r="AD181" s="800"/>
      <c r="AE181" s="800"/>
      <c r="AF181" s="800"/>
      <c r="AG181" s="800"/>
      <c r="AH181" s="800"/>
      <c r="AI181" s="800"/>
    </row>
    <row r="182" spans="1:35" s="803" customFormat="1" ht="12" x14ac:dyDescent="0.3">
      <c r="A182" s="784" t="s">
        <v>411</v>
      </c>
      <c r="B182" s="770" t="s">
        <v>178</v>
      </c>
      <c r="C182" s="829">
        <v>480</v>
      </c>
      <c r="D182" s="844" t="s">
        <v>27</v>
      </c>
      <c r="E182" s="829">
        <v>9</v>
      </c>
      <c r="F182" s="870">
        <f>C182*E182</f>
        <v>4320</v>
      </c>
      <c r="G182" s="876">
        <f>IF(F182="","",F182/$F$5)</f>
        <v>9</v>
      </c>
      <c r="H182" s="877"/>
      <c r="I182" s="878"/>
      <c r="J182" s="825" t="s">
        <v>637</v>
      </c>
      <c r="K182" s="836"/>
      <c r="L182" s="836"/>
      <c r="M182" s="837"/>
      <c r="N182" s="833"/>
      <c r="O182" s="833"/>
      <c r="T182" s="800"/>
      <c r="U182" s="800"/>
      <c r="V182" s="800"/>
      <c r="W182" s="800"/>
      <c r="X182" s="800"/>
      <c r="Y182" s="800"/>
      <c r="Z182" s="800"/>
      <c r="AA182" s="800"/>
      <c r="AB182" s="800"/>
      <c r="AC182" s="800"/>
      <c r="AD182" s="800"/>
      <c r="AE182" s="800"/>
      <c r="AF182" s="800"/>
      <c r="AG182" s="800"/>
      <c r="AH182" s="800"/>
      <c r="AI182" s="800"/>
    </row>
    <row r="183" spans="1:35" s="803" customFormat="1" ht="12" x14ac:dyDescent="0.3">
      <c r="A183" s="784" t="s">
        <v>412</v>
      </c>
      <c r="B183" s="770" t="s">
        <v>475</v>
      </c>
      <c r="C183" s="829">
        <v>480</v>
      </c>
      <c r="D183" s="844" t="s">
        <v>27</v>
      </c>
      <c r="E183" s="829">
        <v>5</v>
      </c>
      <c r="F183" s="870">
        <f>C183*E183</f>
        <v>2400</v>
      </c>
      <c r="G183" s="876">
        <f>IF(F183="","",F183/$F$5)</f>
        <v>5</v>
      </c>
      <c r="H183" s="890"/>
      <c r="I183" s="891"/>
      <c r="J183" s="825" t="s">
        <v>593</v>
      </c>
      <c r="K183" s="836"/>
      <c r="L183" s="836"/>
      <c r="M183" s="837"/>
      <c r="N183" s="833"/>
      <c r="O183" s="833"/>
      <c r="T183" s="800"/>
      <c r="U183" s="800"/>
      <c r="V183" s="800"/>
      <c r="W183" s="800"/>
      <c r="X183" s="800"/>
      <c r="Y183" s="800"/>
      <c r="Z183" s="800"/>
      <c r="AA183" s="800"/>
      <c r="AB183" s="800"/>
      <c r="AC183" s="800"/>
      <c r="AD183" s="800"/>
      <c r="AE183" s="800"/>
      <c r="AF183" s="800"/>
      <c r="AG183" s="800"/>
      <c r="AH183" s="800"/>
      <c r="AI183" s="800"/>
    </row>
    <row r="184" spans="1:35" s="803" customFormat="1" ht="12" x14ac:dyDescent="0.3">
      <c r="A184" s="784" t="s">
        <v>594</v>
      </c>
      <c r="B184" s="770" t="s">
        <v>174</v>
      </c>
      <c r="C184" s="829">
        <v>1</v>
      </c>
      <c r="D184" s="844" t="s">
        <v>158</v>
      </c>
      <c r="E184" s="829">
        <v>2500</v>
      </c>
      <c r="F184" s="870">
        <f>C184*E184</f>
        <v>2500</v>
      </c>
      <c r="G184" s="876">
        <f>IF(F184="","",F184/$F$5)</f>
        <v>5.208333333333333</v>
      </c>
      <c r="H184" s="892"/>
      <c r="I184" s="891"/>
      <c r="J184" s="839" t="s">
        <v>595</v>
      </c>
      <c r="K184" s="836"/>
      <c r="L184" s="836"/>
      <c r="M184" s="837"/>
      <c r="N184" s="833"/>
      <c r="O184" s="833"/>
      <c r="T184" s="800"/>
      <c r="U184" s="800"/>
      <c r="V184" s="800"/>
      <c r="W184" s="800"/>
      <c r="X184" s="800"/>
      <c r="Y184" s="800"/>
      <c r="Z184" s="800"/>
      <c r="AA184" s="800"/>
      <c r="AB184" s="800"/>
      <c r="AC184" s="800"/>
      <c r="AD184" s="800"/>
      <c r="AE184" s="800"/>
      <c r="AF184" s="800"/>
      <c r="AG184" s="800"/>
      <c r="AH184" s="800"/>
      <c r="AI184" s="800"/>
    </row>
    <row r="185" spans="1:35" s="803" customFormat="1" ht="12" x14ac:dyDescent="0.25">
      <c r="A185" s="785">
        <v>11.3</v>
      </c>
      <c r="B185" s="989" t="s">
        <v>250</v>
      </c>
      <c r="C185" s="829"/>
      <c r="D185" s="844"/>
      <c r="E185" s="829"/>
      <c r="F185" s="870"/>
      <c r="G185" s="876"/>
      <c r="H185" s="892"/>
      <c r="I185" s="891"/>
      <c r="J185" s="825"/>
      <c r="K185" s="836"/>
      <c r="L185" s="836"/>
      <c r="M185" s="837"/>
      <c r="N185" s="833"/>
      <c r="O185" s="833"/>
      <c r="T185" s="800"/>
      <c r="U185" s="800"/>
      <c r="V185" s="800"/>
      <c r="W185" s="800"/>
      <c r="X185" s="800"/>
      <c r="Y185" s="800"/>
      <c r="Z185" s="800"/>
      <c r="AA185" s="800"/>
      <c r="AB185" s="800"/>
      <c r="AC185" s="800"/>
      <c r="AD185" s="800"/>
      <c r="AE185" s="800"/>
      <c r="AF185" s="800"/>
      <c r="AG185" s="800"/>
      <c r="AH185" s="800"/>
      <c r="AI185" s="800"/>
    </row>
    <row r="186" spans="1:35" s="803" customFormat="1" ht="12" x14ac:dyDescent="0.3">
      <c r="A186" s="784" t="s">
        <v>417</v>
      </c>
      <c r="B186" s="770" t="s">
        <v>596</v>
      </c>
      <c r="C186" s="829">
        <v>480</v>
      </c>
      <c r="D186" s="844" t="s">
        <v>158</v>
      </c>
      <c r="E186" s="829">
        <v>15</v>
      </c>
      <c r="F186" s="870">
        <f>C186*E186</f>
        <v>7200</v>
      </c>
      <c r="G186" s="876">
        <f>IF(F186="","",F186/$F$5)</f>
        <v>15</v>
      </c>
      <c r="H186" s="892"/>
      <c r="I186" s="891"/>
      <c r="J186" s="825" t="s">
        <v>597</v>
      </c>
      <c r="K186" s="836"/>
      <c r="L186" s="836"/>
      <c r="M186" s="837"/>
      <c r="N186" s="833"/>
      <c r="O186" s="833"/>
      <c r="T186" s="800"/>
      <c r="U186" s="800"/>
      <c r="V186" s="800"/>
      <c r="W186" s="800"/>
      <c r="X186" s="800"/>
      <c r="Y186" s="800"/>
      <c r="Z186" s="800"/>
      <c r="AA186" s="800"/>
      <c r="AB186" s="800"/>
      <c r="AC186" s="800"/>
      <c r="AD186" s="800"/>
      <c r="AE186" s="800"/>
      <c r="AF186" s="800"/>
      <c r="AG186" s="800"/>
      <c r="AH186" s="800"/>
      <c r="AI186" s="800"/>
    </row>
    <row r="187" spans="1:35" s="803" customFormat="1" ht="12" x14ac:dyDescent="0.25">
      <c r="A187" s="785">
        <v>1.4</v>
      </c>
      <c r="B187" s="989" t="s">
        <v>256</v>
      </c>
      <c r="C187" s="829"/>
      <c r="D187" s="844"/>
      <c r="E187" s="829"/>
      <c r="F187" s="870"/>
      <c r="G187" s="876"/>
      <c r="H187" s="892"/>
      <c r="I187" s="891"/>
      <c r="J187" s="825"/>
      <c r="K187" s="836"/>
      <c r="L187" s="836"/>
      <c r="M187" s="837"/>
      <c r="N187" s="833"/>
      <c r="O187" s="833"/>
      <c r="T187" s="800"/>
      <c r="U187" s="800"/>
      <c r="V187" s="800"/>
      <c r="W187" s="800"/>
      <c r="X187" s="800"/>
      <c r="Y187" s="800"/>
      <c r="Z187" s="800"/>
      <c r="AA187" s="800"/>
      <c r="AB187" s="800"/>
      <c r="AC187" s="800"/>
      <c r="AD187" s="800"/>
      <c r="AE187" s="800"/>
      <c r="AF187" s="800"/>
      <c r="AG187" s="800"/>
      <c r="AH187" s="800"/>
      <c r="AI187" s="800"/>
    </row>
    <row r="188" spans="1:35" s="803" customFormat="1" ht="12" x14ac:dyDescent="0.3">
      <c r="A188" s="784" t="s">
        <v>423</v>
      </c>
      <c r="B188" s="770" t="s">
        <v>287</v>
      </c>
      <c r="C188" s="829">
        <v>1</v>
      </c>
      <c r="D188" s="844" t="s">
        <v>158</v>
      </c>
      <c r="E188" s="829">
        <v>25000</v>
      </c>
      <c r="F188" s="870">
        <f>C188*E188</f>
        <v>25000</v>
      </c>
      <c r="G188" s="876">
        <f>IF(F188="","",F188/$F$5)</f>
        <v>52.083333333333336</v>
      </c>
      <c r="H188" s="892"/>
      <c r="I188" s="891"/>
      <c r="J188" s="825" t="s">
        <v>561</v>
      </c>
      <c r="K188" s="836"/>
      <c r="L188" s="836"/>
      <c r="M188" s="837"/>
      <c r="N188" s="833"/>
      <c r="O188" s="833"/>
      <c r="T188" s="800"/>
      <c r="U188" s="800"/>
      <c r="V188" s="800"/>
      <c r="W188" s="800"/>
      <c r="X188" s="800"/>
      <c r="Y188" s="800"/>
      <c r="Z188" s="800"/>
      <c r="AA188" s="800"/>
      <c r="AB188" s="800"/>
      <c r="AC188" s="800"/>
      <c r="AD188" s="800"/>
      <c r="AE188" s="800"/>
      <c r="AF188" s="800"/>
      <c r="AG188" s="800"/>
      <c r="AH188" s="800"/>
      <c r="AI188" s="800"/>
    </row>
    <row r="189" spans="1:35" s="803" customFormat="1" ht="12" x14ac:dyDescent="0.3">
      <c r="A189" s="784" t="s">
        <v>445</v>
      </c>
      <c r="B189" s="770" t="s">
        <v>476</v>
      </c>
      <c r="C189" s="829">
        <v>480</v>
      </c>
      <c r="D189" s="844" t="s">
        <v>27</v>
      </c>
      <c r="E189" s="829">
        <v>50</v>
      </c>
      <c r="F189" s="870">
        <f>C189*E189</f>
        <v>24000</v>
      </c>
      <c r="G189" s="876">
        <f>IF(F189="","",F189/$F$5)</f>
        <v>50</v>
      </c>
      <c r="H189" s="892"/>
      <c r="I189" s="891"/>
      <c r="J189" s="825"/>
      <c r="K189" s="836"/>
      <c r="L189" s="836"/>
      <c r="M189" s="837"/>
      <c r="N189" s="833"/>
      <c r="O189" s="833"/>
      <c r="T189" s="800"/>
      <c r="U189" s="800"/>
      <c r="V189" s="800"/>
      <c r="W189" s="800"/>
      <c r="X189" s="800"/>
      <c r="Y189" s="800"/>
      <c r="Z189" s="800"/>
      <c r="AA189" s="800"/>
      <c r="AB189" s="800"/>
      <c r="AC189" s="800"/>
      <c r="AD189" s="800"/>
      <c r="AE189" s="800"/>
      <c r="AF189" s="800"/>
      <c r="AG189" s="800"/>
      <c r="AH189" s="800"/>
      <c r="AI189" s="800"/>
    </row>
    <row r="190" spans="1:35" s="803" customFormat="1" ht="12" x14ac:dyDescent="0.3">
      <c r="A190" s="784" t="s">
        <v>424</v>
      </c>
      <c r="B190" s="770" t="s">
        <v>477</v>
      </c>
      <c r="C190" s="829">
        <v>480</v>
      </c>
      <c r="D190" s="844" t="s">
        <v>27</v>
      </c>
      <c r="E190" s="829">
        <v>120</v>
      </c>
      <c r="F190" s="870">
        <f>C190*E190</f>
        <v>57600</v>
      </c>
      <c r="G190" s="876">
        <f>IF(F190="","",F190/$F$5)</f>
        <v>120</v>
      </c>
      <c r="H190" s="892"/>
      <c r="I190" s="891"/>
      <c r="J190" s="825" t="s">
        <v>598</v>
      </c>
      <c r="K190" s="836"/>
      <c r="L190" s="836"/>
      <c r="M190" s="837"/>
      <c r="N190" s="833"/>
      <c r="O190" s="833"/>
      <c r="T190" s="800"/>
      <c r="U190" s="800"/>
      <c r="V190" s="800"/>
      <c r="W190" s="800"/>
      <c r="X190" s="800"/>
      <c r="Y190" s="800"/>
      <c r="Z190" s="800"/>
      <c r="AA190" s="800"/>
      <c r="AB190" s="800"/>
      <c r="AC190" s="800"/>
      <c r="AD190" s="800"/>
      <c r="AE190" s="800"/>
      <c r="AF190" s="800"/>
      <c r="AG190" s="800"/>
      <c r="AH190" s="800"/>
      <c r="AI190" s="800"/>
    </row>
    <row r="191" spans="1:35" s="803" customFormat="1" ht="12" x14ac:dyDescent="0.25">
      <c r="A191" s="785">
        <v>11.5</v>
      </c>
      <c r="B191" s="989" t="s">
        <v>260</v>
      </c>
      <c r="C191" s="829"/>
      <c r="D191" s="844"/>
      <c r="E191" s="829"/>
      <c r="F191" s="870"/>
      <c r="G191" s="876"/>
      <c r="H191" s="892"/>
      <c r="I191" s="891"/>
      <c r="J191" s="825"/>
      <c r="K191" s="836"/>
      <c r="L191" s="836"/>
      <c r="M191" s="837"/>
      <c r="N191" s="833"/>
      <c r="O191" s="833"/>
      <c r="T191" s="800"/>
      <c r="U191" s="800"/>
      <c r="V191" s="800"/>
      <c r="W191" s="800"/>
      <c r="X191" s="800"/>
      <c r="Y191" s="800"/>
      <c r="Z191" s="800"/>
      <c r="AA191" s="800"/>
      <c r="AB191" s="800"/>
      <c r="AC191" s="800"/>
      <c r="AD191" s="800"/>
      <c r="AE191" s="800"/>
      <c r="AF191" s="800"/>
      <c r="AG191" s="800"/>
      <c r="AH191" s="800"/>
      <c r="AI191" s="800"/>
    </row>
    <row r="192" spans="1:35" s="803" customFormat="1" ht="34.5" x14ac:dyDescent="0.3">
      <c r="A192" s="784" t="s">
        <v>432</v>
      </c>
      <c r="B192" s="770" t="s">
        <v>188</v>
      </c>
      <c r="C192" s="829">
        <v>480</v>
      </c>
      <c r="D192" s="844" t="s">
        <v>27</v>
      </c>
      <c r="E192" s="829">
        <v>55</v>
      </c>
      <c r="F192" s="870">
        <f>C192*E192</f>
        <v>26400</v>
      </c>
      <c r="G192" s="876">
        <f>IF(F192="","",F192/$F$5)</f>
        <v>55</v>
      </c>
      <c r="H192" s="892"/>
      <c r="I192" s="891"/>
      <c r="J192" s="988" t="s">
        <v>638</v>
      </c>
      <c r="K192" s="836"/>
      <c r="L192" s="836"/>
      <c r="M192" s="837"/>
      <c r="N192" s="833"/>
      <c r="O192" s="833"/>
      <c r="T192" s="800"/>
      <c r="U192" s="800"/>
      <c r="V192" s="800"/>
      <c r="W192" s="800"/>
      <c r="X192" s="800"/>
      <c r="Y192" s="800"/>
      <c r="Z192" s="800"/>
      <c r="AA192" s="800"/>
      <c r="AB192" s="800"/>
      <c r="AC192" s="800"/>
      <c r="AD192" s="800"/>
      <c r="AE192" s="800"/>
      <c r="AF192" s="800"/>
      <c r="AG192" s="800"/>
      <c r="AH192" s="800"/>
      <c r="AI192" s="800"/>
    </row>
    <row r="193" spans="1:35" s="803" customFormat="1" ht="12" x14ac:dyDescent="0.3">
      <c r="A193" s="784" t="s">
        <v>599</v>
      </c>
      <c r="B193" s="770" t="s">
        <v>189</v>
      </c>
      <c r="C193" s="829">
        <v>480</v>
      </c>
      <c r="D193" s="844" t="s">
        <v>27</v>
      </c>
      <c r="E193" s="829">
        <v>5</v>
      </c>
      <c r="F193" s="870">
        <f>C193*E193</f>
        <v>2400</v>
      </c>
      <c r="G193" s="876">
        <f>IF(F193="","",F193/$F$5)</f>
        <v>5</v>
      </c>
      <c r="H193" s="892"/>
      <c r="I193" s="891"/>
      <c r="J193" s="825"/>
      <c r="K193" s="836"/>
      <c r="L193" s="836"/>
      <c r="M193" s="837"/>
      <c r="N193" s="833"/>
      <c r="O193" s="833"/>
      <c r="T193" s="800"/>
      <c r="U193" s="800"/>
      <c r="V193" s="800"/>
      <c r="W193" s="800"/>
      <c r="X193" s="800"/>
      <c r="Y193" s="800"/>
      <c r="Z193" s="800"/>
      <c r="AA193" s="800"/>
      <c r="AB193" s="800"/>
      <c r="AC193" s="800"/>
      <c r="AD193" s="800"/>
      <c r="AE193" s="800"/>
      <c r="AF193" s="800"/>
      <c r="AG193" s="800"/>
      <c r="AH193" s="800"/>
      <c r="AI193" s="800"/>
    </row>
    <row r="194" spans="1:35" s="803" customFormat="1" ht="12" x14ac:dyDescent="0.3">
      <c r="A194" s="784" t="s">
        <v>600</v>
      </c>
      <c r="B194" s="770" t="s">
        <v>190</v>
      </c>
      <c r="C194" s="829">
        <v>480</v>
      </c>
      <c r="D194" s="844" t="s">
        <v>27</v>
      </c>
      <c r="E194" s="829">
        <v>10</v>
      </c>
      <c r="F194" s="870">
        <f>C194*E194</f>
        <v>4800</v>
      </c>
      <c r="G194" s="876">
        <f>IF(F194="","",F194/$F$5)</f>
        <v>10</v>
      </c>
      <c r="H194" s="892"/>
      <c r="I194" s="891"/>
      <c r="J194" s="825"/>
      <c r="K194" s="836"/>
      <c r="L194" s="836"/>
      <c r="M194" s="837"/>
      <c r="N194" s="833"/>
      <c r="O194" s="833"/>
      <c r="T194" s="800"/>
      <c r="U194" s="800"/>
      <c r="V194" s="800"/>
      <c r="W194" s="800"/>
      <c r="X194" s="800"/>
      <c r="Y194" s="800"/>
      <c r="Z194" s="800"/>
      <c r="AA194" s="800"/>
      <c r="AB194" s="800"/>
      <c r="AC194" s="800"/>
      <c r="AD194" s="800"/>
      <c r="AE194" s="800"/>
      <c r="AF194" s="800"/>
      <c r="AG194" s="800"/>
      <c r="AH194" s="800"/>
      <c r="AI194" s="800"/>
    </row>
    <row r="195" spans="1:35" s="803" customFormat="1" ht="12" x14ac:dyDescent="0.3">
      <c r="A195" s="784" t="s">
        <v>601</v>
      </c>
      <c r="B195" s="770" t="s">
        <v>488</v>
      </c>
      <c r="C195" s="829">
        <v>480</v>
      </c>
      <c r="D195" s="844" t="s">
        <v>27</v>
      </c>
      <c r="E195" s="829">
        <v>30</v>
      </c>
      <c r="F195" s="870">
        <f>C195*E195</f>
        <v>14400</v>
      </c>
      <c r="G195" s="876">
        <f>IF(F195="","",F195/$F$5)</f>
        <v>30</v>
      </c>
      <c r="H195" s="892"/>
      <c r="I195" s="891"/>
      <c r="J195" s="825"/>
      <c r="K195" s="836"/>
      <c r="L195" s="836"/>
      <c r="M195" s="837"/>
      <c r="N195" s="833"/>
      <c r="O195" s="833"/>
      <c r="T195" s="800"/>
      <c r="U195" s="800"/>
      <c r="V195" s="800"/>
      <c r="W195" s="800"/>
      <c r="X195" s="800"/>
      <c r="Y195" s="800"/>
      <c r="Z195" s="800"/>
      <c r="AA195" s="800"/>
      <c r="AB195" s="800"/>
      <c r="AC195" s="800"/>
      <c r="AD195" s="800"/>
      <c r="AE195" s="800"/>
      <c r="AF195" s="800"/>
      <c r="AG195" s="800"/>
      <c r="AH195" s="800"/>
      <c r="AI195" s="800"/>
    </row>
    <row r="196" spans="1:35" s="803" customFormat="1" ht="12" x14ac:dyDescent="0.3">
      <c r="A196" s="784" t="s">
        <v>602</v>
      </c>
      <c r="B196" s="770" t="s">
        <v>478</v>
      </c>
      <c r="C196" s="829">
        <v>1</v>
      </c>
      <c r="D196" s="844" t="s">
        <v>158</v>
      </c>
      <c r="E196" s="829">
        <v>6000</v>
      </c>
      <c r="F196" s="870">
        <f>C196*E196</f>
        <v>6000</v>
      </c>
      <c r="G196" s="876">
        <f>IF(F196="","",F196/$F$5)</f>
        <v>12.5</v>
      </c>
      <c r="H196" s="892"/>
      <c r="I196" s="891"/>
      <c r="J196" s="825"/>
      <c r="K196" s="836"/>
      <c r="L196" s="836"/>
      <c r="M196" s="837"/>
      <c r="N196" s="833"/>
      <c r="O196" s="833"/>
      <c r="T196" s="800"/>
      <c r="U196" s="800"/>
      <c r="V196" s="800"/>
      <c r="W196" s="800"/>
      <c r="X196" s="800"/>
      <c r="Y196" s="800"/>
      <c r="Z196" s="800"/>
      <c r="AA196" s="800"/>
      <c r="AB196" s="800"/>
      <c r="AC196" s="800"/>
      <c r="AD196" s="800"/>
      <c r="AE196" s="800"/>
      <c r="AF196" s="800"/>
      <c r="AG196" s="800"/>
      <c r="AH196" s="800"/>
      <c r="AI196" s="800"/>
    </row>
    <row r="197" spans="1:35" s="803" customFormat="1" ht="12" x14ac:dyDescent="0.25">
      <c r="A197" s="785">
        <v>11.6</v>
      </c>
      <c r="B197" s="989" t="s">
        <v>272</v>
      </c>
      <c r="C197" s="829"/>
      <c r="D197" s="844"/>
      <c r="E197" s="829"/>
      <c r="F197" s="870"/>
      <c r="G197" s="876"/>
      <c r="H197" s="892"/>
      <c r="I197" s="891"/>
      <c r="J197" s="825"/>
      <c r="K197" s="836"/>
      <c r="L197" s="836"/>
      <c r="M197" s="837"/>
      <c r="N197" s="833"/>
      <c r="O197" s="833"/>
      <c r="T197" s="800"/>
      <c r="U197" s="800"/>
      <c r="V197" s="800"/>
      <c r="W197" s="800"/>
      <c r="X197" s="800"/>
      <c r="Y197" s="800"/>
      <c r="Z197" s="800"/>
      <c r="AA197" s="800"/>
      <c r="AB197" s="800"/>
      <c r="AC197" s="800"/>
      <c r="AD197" s="800"/>
      <c r="AE197" s="800"/>
      <c r="AF197" s="800"/>
      <c r="AG197" s="800"/>
      <c r="AH197" s="800"/>
      <c r="AI197" s="800"/>
    </row>
    <row r="198" spans="1:35" s="803" customFormat="1" ht="12" x14ac:dyDescent="0.3">
      <c r="A198" s="784" t="s">
        <v>479</v>
      </c>
      <c r="B198" s="770" t="s">
        <v>555</v>
      </c>
      <c r="C198" s="829">
        <v>0</v>
      </c>
      <c r="D198" s="840" t="s">
        <v>158</v>
      </c>
      <c r="E198" s="829">
        <v>0</v>
      </c>
      <c r="F198" s="870">
        <v>0</v>
      </c>
      <c r="G198" s="876">
        <v>0</v>
      </c>
      <c r="H198" s="874"/>
      <c r="I198" s="873"/>
      <c r="J198" s="825" t="s">
        <v>156</v>
      </c>
      <c r="K198" s="836"/>
      <c r="L198" s="836"/>
      <c r="M198" s="837"/>
      <c r="N198" s="833"/>
      <c r="O198" s="833"/>
      <c r="T198" s="800"/>
      <c r="U198" s="800"/>
      <c r="V198" s="800"/>
      <c r="W198" s="800"/>
      <c r="X198" s="800"/>
      <c r="Y198" s="800"/>
      <c r="Z198" s="800"/>
      <c r="AA198" s="800"/>
      <c r="AB198" s="800"/>
      <c r="AC198" s="800"/>
      <c r="AD198" s="800"/>
      <c r="AE198" s="800"/>
      <c r="AF198" s="800"/>
      <c r="AG198" s="800"/>
      <c r="AH198" s="800"/>
      <c r="AI198" s="800"/>
    </row>
    <row r="199" spans="1:35" s="803" customFormat="1" ht="12" x14ac:dyDescent="0.25">
      <c r="A199" s="785">
        <v>11.7</v>
      </c>
      <c r="B199" s="989" t="s">
        <v>81</v>
      </c>
      <c r="C199" s="829"/>
      <c r="D199" s="844"/>
      <c r="E199" s="829"/>
      <c r="F199" s="870"/>
      <c r="G199" s="876"/>
      <c r="H199" s="892"/>
      <c r="I199" s="891"/>
      <c r="J199" s="825"/>
      <c r="K199" s="836"/>
      <c r="L199" s="836"/>
      <c r="M199" s="837"/>
      <c r="N199" s="833"/>
      <c r="O199" s="833"/>
      <c r="T199" s="800"/>
      <c r="U199" s="800"/>
      <c r="V199" s="800"/>
      <c r="W199" s="800"/>
      <c r="X199" s="800"/>
      <c r="Y199" s="800"/>
      <c r="Z199" s="800"/>
      <c r="AA199" s="800"/>
      <c r="AB199" s="800"/>
      <c r="AC199" s="800"/>
      <c r="AD199" s="800"/>
      <c r="AE199" s="800"/>
      <c r="AF199" s="800"/>
      <c r="AG199" s="800"/>
      <c r="AH199" s="800"/>
      <c r="AI199" s="800"/>
    </row>
    <row r="200" spans="1:35" s="803" customFormat="1" ht="12" x14ac:dyDescent="0.3">
      <c r="A200" s="784" t="s">
        <v>433</v>
      </c>
      <c r="B200" s="770" t="s">
        <v>615</v>
      </c>
      <c r="C200" s="829">
        <v>0</v>
      </c>
      <c r="D200" s="840" t="s">
        <v>158</v>
      </c>
      <c r="E200" s="829">
        <v>26000</v>
      </c>
      <c r="F200" s="870">
        <f>C200*E200</f>
        <v>0</v>
      </c>
      <c r="G200" s="876">
        <f>IF(F200="","",F200/$F$5)</f>
        <v>0</v>
      </c>
      <c r="H200" s="874"/>
      <c r="I200" s="873"/>
      <c r="J200" s="825" t="s">
        <v>156</v>
      </c>
      <c r="K200" s="836"/>
      <c r="L200" s="836"/>
      <c r="M200" s="837"/>
      <c r="N200" s="833"/>
      <c r="O200" s="833"/>
      <c r="T200" s="800"/>
      <c r="U200" s="800"/>
      <c r="V200" s="800"/>
      <c r="W200" s="800"/>
      <c r="X200" s="800"/>
      <c r="Y200" s="800"/>
      <c r="Z200" s="800"/>
      <c r="AA200" s="800"/>
      <c r="AB200" s="800"/>
      <c r="AC200" s="800"/>
      <c r="AD200" s="800"/>
      <c r="AE200" s="800"/>
      <c r="AF200" s="800"/>
      <c r="AG200" s="800"/>
      <c r="AH200" s="800"/>
      <c r="AI200" s="800"/>
    </row>
    <row r="201" spans="1:35" s="803" customFormat="1" ht="12" x14ac:dyDescent="0.25">
      <c r="A201" s="785">
        <v>11.8</v>
      </c>
      <c r="B201" s="989" t="s">
        <v>274</v>
      </c>
      <c r="C201" s="829"/>
      <c r="D201" s="844"/>
      <c r="E201" s="829"/>
      <c r="F201" s="870"/>
      <c r="G201" s="876"/>
      <c r="H201" s="892"/>
      <c r="I201" s="891"/>
      <c r="J201" s="825"/>
      <c r="K201" s="836"/>
      <c r="L201" s="836"/>
      <c r="M201" s="837"/>
      <c r="N201" s="833"/>
      <c r="O201" s="833"/>
      <c r="T201" s="800"/>
      <c r="U201" s="800"/>
      <c r="V201" s="800"/>
      <c r="W201" s="800"/>
      <c r="X201" s="800"/>
      <c r="Y201" s="800"/>
      <c r="Z201" s="800"/>
      <c r="AA201" s="800"/>
      <c r="AB201" s="800"/>
      <c r="AC201" s="800"/>
      <c r="AD201" s="800"/>
      <c r="AE201" s="800"/>
      <c r="AF201" s="800"/>
      <c r="AG201" s="800"/>
      <c r="AH201" s="800"/>
      <c r="AI201" s="800"/>
    </row>
    <row r="202" spans="1:35" s="803" customFormat="1" ht="12" x14ac:dyDescent="0.3">
      <c r="A202" s="784" t="s">
        <v>414</v>
      </c>
      <c r="B202" s="770" t="s">
        <v>480</v>
      </c>
      <c r="C202" s="829">
        <v>480</v>
      </c>
      <c r="D202" s="844" t="s">
        <v>27</v>
      </c>
      <c r="E202" s="829">
        <v>15</v>
      </c>
      <c r="F202" s="870">
        <f>C202*E202</f>
        <v>7200</v>
      </c>
      <c r="G202" s="876">
        <f>IF(F202="","",F202/$F$5)</f>
        <v>15</v>
      </c>
      <c r="H202" s="892"/>
      <c r="I202" s="891"/>
      <c r="J202" s="825"/>
      <c r="K202" s="836"/>
      <c r="L202" s="836"/>
      <c r="M202" s="837"/>
      <c r="N202" s="833"/>
      <c r="O202" s="833"/>
      <c r="T202" s="800"/>
      <c r="U202" s="800"/>
      <c r="V202" s="800"/>
      <c r="W202" s="800"/>
      <c r="X202" s="800"/>
      <c r="Y202" s="800"/>
      <c r="Z202" s="800"/>
      <c r="AA202" s="800"/>
      <c r="AB202" s="800"/>
      <c r="AC202" s="800"/>
      <c r="AD202" s="800"/>
      <c r="AE202" s="800"/>
      <c r="AF202" s="800"/>
      <c r="AG202" s="800"/>
      <c r="AH202" s="800"/>
      <c r="AI202" s="800"/>
    </row>
    <row r="203" spans="1:35" s="803" customFormat="1" ht="23" x14ac:dyDescent="0.3">
      <c r="A203" s="784" t="s">
        <v>415</v>
      </c>
      <c r="B203" s="770" t="s">
        <v>489</v>
      </c>
      <c r="C203" s="829">
        <v>1</v>
      </c>
      <c r="D203" s="844" t="s">
        <v>27</v>
      </c>
      <c r="E203" s="829">
        <v>10000</v>
      </c>
      <c r="F203" s="870">
        <f>C203*E203</f>
        <v>10000</v>
      </c>
      <c r="G203" s="876">
        <f>IF(F203="","",F203/$F$5)</f>
        <v>20.833333333333332</v>
      </c>
      <c r="H203" s="892"/>
      <c r="I203" s="891"/>
      <c r="J203" s="988" t="s">
        <v>612</v>
      </c>
      <c r="K203" s="836"/>
      <c r="L203" s="836"/>
      <c r="M203" s="837"/>
      <c r="N203" s="833"/>
      <c r="O203" s="833"/>
      <c r="T203" s="800"/>
      <c r="U203" s="800"/>
      <c r="V203" s="800"/>
      <c r="W203" s="800"/>
      <c r="X203" s="800"/>
      <c r="Y203" s="800"/>
      <c r="Z203" s="800"/>
      <c r="AA203" s="800"/>
      <c r="AB203" s="800"/>
      <c r="AC203" s="800"/>
      <c r="AD203" s="800"/>
      <c r="AE203" s="800"/>
      <c r="AF203" s="800"/>
      <c r="AG203" s="800"/>
      <c r="AH203" s="800"/>
      <c r="AI203" s="800"/>
    </row>
    <row r="204" spans="1:35" s="803" customFormat="1" ht="12" x14ac:dyDescent="0.3">
      <c r="A204" s="784" t="s">
        <v>416</v>
      </c>
      <c r="B204" s="770" t="s">
        <v>556</v>
      </c>
      <c r="C204" s="829">
        <v>480</v>
      </c>
      <c r="D204" s="844" t="s">
        <v>158</v>
      </c>
      <c r="E204" s="829">
        <v>5</v>
      </c>
      <c r="F204" s="870">
        <f>C204*E204</f>
        <v>2400</v>
      </c>
      <c r="G204" s="876">
        <f>IF(F204="","",F204/$F$5)</f>
        <v>5</v>
      </c>
      <c r="H204" s="892"/>
      <c r="I204" s="891"/>
      <c r="J204" s="825"/>
      <c r="K204" s="836"/>
      <c r="L204" s="836"/>
      <c r="M204" s="837"/>
      <c r="N204" s="833"/>
      <c r="O204" s="833"/>
      <c r="T204" s="800"/>
      <c r="U204" s="800"/>
      <c r="V204" s="800"/>
      <c r="W204" s="800"/>
      <c r="X204" s="800"/>
      <c r="Y204" s="800"/>
      <c r="Z204" s="800"/>
      <c r="AA204" s="800"/>
      <c r="AB204" s="800"/>
      <c r="AC204" s="800"/>
      <c r="AD204" s="800"/>
      <c r="AE204" s="800"/>
      <c r="AF204" s="800"/>
      <c r="AG204" s="800"/>
      <c r="AH204" s="800"/>
      <c r="AI204" s="800"/>
    </row>
    <row r="205" spans="1:35" s="803" customFormat="1" ht="12" x14ac:dyDescent="0.25">
      <c r="A205" s="785">
        <v>11.9</v>
      </c>
      <c r="B205" s="989" t="s">
        <v>279</v>
      </c>
      <c r="C205" s="829"/>
      <c r="D205" s="844"/>
      <c r="E205" s="829"/>
      <c r="F205" s="870"/>
      <c r="G205" s="876"/>
      <c r="H205" s="892"/>
      <c r="I205" s="891"/>
      <c r="J205" s="825"/>
      <c r="K205" s="836"/>
      <c r="L205" s="836"/>
      <c r="M205" s="837"/>
      <c r="N205" s="833"/>
      <c r="O205" s="833"/>
      <c r="T205" s="800"/>
      <c r="U205" s="800"/>
      <c r="V205" s="800"/>
      <c r="W205" s="800"/>
      <c r="X205" s="800"/>
      <c r="Y205" s="800"/>
      <c r="Z205" s="800"/>
      <c r="AA205" s="800"/>
      <c r="AB205" s="800"/>
      <c r="AC205" s="800"/>
      <c r="AD205" s="800"/>
      <c r="AE205" s="800"/>
      <c r="AF205" s="800"/>
      <c r="AG205" s="800"/>
      <c r="AH205" s="800"/>
      <c r="AI205" s="800"/>
    </row>
    <row r="206" spans="1:35" s="803" customFormat="1" ht="12" x14ac:dyDescent="0.3">
      <c r="A206" s="784" t="s">
        <v>413</v>
      </c>
      <c r="B206" s="770" t="s">
        <v>481</v>
      </c>
      <c r="C206" s="829">
        <v>480</v>
      </c>
      <c r="D206" s="844" t="s">
        <v>158</v>
      </c>
      <c r="E206" s="829">
        <v>20</v>
      </c>
      <c r="F206" s="870">
        <f>C206*E206</f>
        <v>9600</v>
      </c>
      <c r="G206" s="876">
        <f>IF(F206="","",F206/$F$5)</f>
        <v>20</v>
      </c>
      <c r="H206" s="892"/>
      <c r="I206" s="891"/>
      <c r="J206" s="839"/>
      <c r="K206" s="836"/>
      <c r="L206" s="836"/>
      <c r="M206" s="837"/>
      <c r="N206" s="833"/>
      <c r="O206" s="833"/>
      <c r="T206" s="800"/>
      <c r="U206" s="800"/>
      <c r="V206" s="800"/>
      <c r="W206" s="800"/>
      <c r="X206" s="800"/>
      <c r="Y206" s="800"/>
      <c r="Z206" s="800"/>
      <c r="AA206" s="800"/>
      <c r="AB206" s="800"/>
      <c r="AC206" s="800"/>
      <c r="AD206" s="800"/>
      <c r="AE206" s="800"/>
      <c r="AF206" s="800"/>
      <c r="AG206" s="800"/>
      <c r="AH206" s="800"/>
      <c r="AI206" s="800"/>
    </row>
    <row r="207" spans="1:35" s="803" customFormat="1" ht="23" x14ac:dyDescent="0.3">
      <c r="A207" s="784" t="s">
        <v>603</v>
      </c>
      <c r="B207" s="770" t="s">
        <v>604</v>
      </c>
      <c r="C207" s="829">
        <v>1</v>
      </c>
      <c r="D207" s="844" t="s">
        <v>158</v>
      </c>
      <c r="E207" s="829">
        <v>30000</v>
      </c>
      <c r="F207" s="870">
        <f>C207*E207</f>
        <v>30000</v>
      </c>
      <c r="G207" s="876">
        <f>IF(F207="","",F207/$F$5)</f>
        <v>62.5</v>
      </c>
      <c r="H207" s="892"/>
      <c r="I207" s="891"/>
      <c r="J207" s="988" t="s">
        <v>605</v>
      </c>
      <c r="K207" s="836"/>
      <c r="L207" s="836"/>
      <c r="M207" s="837"/>
      <c r="N207" s="833"/>
      <c r="O207" s="833"/>
      <c r="T207" s="800"/>
      <c r="U207" s="800"/>
      <c r="V207" s="800"/>
      <c r="W207" s="800"/>
      <c r="X207" s="800"/>
      <c r="Y207" s="800"/>
      <c r="Z207" s="800"/>
      <c r="AA207" s="800"/>
      <c r="AB207" s="800"/>
      <c r="AC207" s="800"/>
      <c r="AD207" s="800"/>
      <c r="AE207" s="800"/>
      <c r="AF207" s="800"/>
      <c r="AG207" s="800"/>
      <c r="AH207" s="800"/>
      <c r="AI207" s="800"/>
    </row>
    <row r="208" spans="1:35" s="803" customFormat="1" ht="12" x14ac:dyDescent="0.3">
      <c r="A208" s="784" t="s">
        <v>606</v>
      </c>
      <c r="B208" s="770" t="s">
        <v>204</v>
      </c>
      <c r="C208" s="829">
        <v>480</v>
      </c>
      <c r="D208" s="844" t="s">
        <v>27</v>
      </c>
      <c r="E208" s="829">
        <v>15</v>
      </c>
      <c r="F208" s="870">
        <f>C208*E208</f>
        <v>7200</v>
      </c>
      <c r="G208" s="876">
        <f>IF(F208="","",F208/$F$5)</f>
        <v>15</v>
      </c>
      <c r="H208" s="877"/>
      <c r="I208" s="878"/>
      <c r="J208" s="825" t="s">
        <v>607</v>
      </c>
      <c r="K208" s="836"/>
      <c r="L208" s="836"/>
      <c r="M208" s="837"/>
      <c r="N208" s="833"/>
      <c r="O208" s="833"/>
      <c r="T208" s="800"/>
      <c r="U208" s="800"/>
      <c r="V208" s="800"/>
      <c r="W208" s="800"/>
      <c r="X208" s="800"/>
      <c r="Y208" s="800"/>
      <c r="Z208" s="800"/>
      <c r="AA208" s="800"/>
      <c r="AB208" s="800"/>
      <c r="AC208" s="800"/>
      <c r="AD208" s="800"/>
      <c r="AE208" s="800"/>
      <c r="AF208" s="800"/>
      <c r="AG208" s="800"/>
      <c r="AH208" s="800"/>
      <c r="AI208" s="800"/>
    </row>
    <row r="209" spans="1:35" s="803" customFormat="1" ht="12" x14ac:dyDescent="0.3">
      <c r="A209" s="784"/>
      <c r="B209" s="770" t="s">
        <v>608</v>
      </c>
      <c r="C209" s="829">
        <v>480</v>
      </c>
      <c r="D209" s="844" t="s">
        <v>27</v>
      </c>
      <c r="E209" s="829">
        <v>15</v>
      </c>
      <c r="F209" s="870">
        <f>C209*E209</f>
        <v>7200</v>
      </c>
      <c r="G209" s="876">
        <f>IF(F209="","",F209/$F$5)</f>
        <v>15</v>
      </c>
      <c r="H209" s="877"/>
      <c r="I209" s="878"/>
      <c r="J209" s="825" t="s">
        <v>609</v>
      </c>
      <c r="K209" s="836"/>
      <c r="L209" s="836"/>
      <c r="M209" s="837"/>
      <c r="N209" s="833"/>
      <c r="O209" s="833"/>
      <c r="T209" s="800"/>
      <c r="U209" s="800"/>
      <c r="V209" s="800"/>
      <c r="W209" s="800"/>
      <c r="X209" s="800"/>
      <c r="Y209" s="800"/>
      <c r="Z209" s="800"/>
      <c r="AA209" s="800"/>
      <c r="AB209" s="800"/>
      <c r="AC209" s="800"/>
      <c r="AD209" s="800"/>
      <c r="AE209" s="800"/>
      <c r="AF209" s="800"/>
      <c r="AG209" s="800"/>
      <c r="AH209" s="800"/>
      <c r="AI209" s="800"/>
    </row>
    <row r="210" spans="1:35" s="803" customFormat="1" ht="12" x14ac:dyDescent="0.25">
      <c r="A210" s="790">
        <v>11.1</v>
      </c>
      <c r="B210" s="989" t="s">
        <v>284</v>
      </c>
      <c r="C210" s="829"/>
      <c r="D210" s="844"/>
      <c r="E210" s="829"/>
      <c r="F210" s="870"/>
      <c r="G210" s="876"/>
      <c r="H210" s="877"/>
      <c r="I210" s="878"/>
      <c r="J210" s="825"/>
      <c r="K210" s="836"/>
      <c r="L210" s="836"/>
      <c r="M210" s="837"/>
      <c r="N210" s="833"/>
      <c r="O210" s="833"/>
      <c r="T210" s="800"/>
      <c r="U210" s="800"/>
      <c r="V210" s="800"/>
      <c r="W210" s="800"/>
      <c r="X210" s="800"/>
      <c r="Y210" s="800"/>
      <c r="Z210" s="800"/>
      <c r="AA210" s="800"/>
      <c r="AB210" s="800"/>
      <c r="AC210" s="800"/>
      <c r="AD210" s="800"/>
      <c r="AE210" s="800"/>
      <c r="AF210" s="800"/>
      <c r="AG210" s="800"/>
      <c r="AH210" s="800"/>
      <c r="AI210" s="800"/>
    </row>
    <row r="211" spans="1:35" s="803" customFormat="1" ht="12" x14ac:dyDescent="0.3">
      <c r="A211" s="784" t="s">
        <v>610</v>
      </c>
      <c r="B211" s="770" t="s">
        <v>209</v>
      </c>
      <c r="C211" s="829">
        <v>480</v>
      </c>
      <c r="D211" s="844" t="s">
        <v>27</v>
      </c>
      <c r="E211" s="829">
        <v>25</v>
      </c>
      <c r="F211" s="870">
        <f>C211*E211</f>
        <v>12000</v>
      </c>
      <c r="G211" s="876">
        <f>IF(F211="","",F211/$F$5)</f>
        <v>25</v>
      </c>
      <c r="H211" s="877"/>
      <c r="I211" s="878"/>
      <c r="J211" s="825"/>
      <c r="K211" s="836"/>
      <c r="L211" s="836"/>
      <c r="M211" s="837"/>
      <c r="N211" s="833"/>
      <c r="O211" s="833"/>
      <c r="T211" s="800"/>
      <c r="U211" s="800"/>
      <c r="V211" s="800"/>
      <c r="W211" s="800"/>
      <c r="X211" s="800"/>
      <c r="Y211" s="800"/>
      <c r="Z211" s="800"/>
      <c r="AA211" s="800"/>
      <c r="AB211" s="800"/>
      <c r="AC211" s="800"/>
      <c r="AD211" s="800"/>
      <c r="AE211" s="800"/>
      <c r="AF211" s="800"/>
      <c r="AG211" s="800"/>
      <c r="AH211" s="800"/>
      <c r="AI211" s="800"/>
    </row>
    <row r="212" spans="1:35" s="803" customFormat="1" ht="12" x14ac:dyDescent="0.25">
      <c r="A212" s="790">
        <v>11.11</v>
      </c>
      <c r="B212" s="989" t="s">
        <v>211</v>
      </c>
      <c r="C212" s="829">
        <v>10</v>
      </c>
      <c r="D212" s="844" t="s">
        <v>59</v>
      </c>
      <c r="E212" s="829">
        <f>SUM(F175:F211)</f>
        <v>281720</v>
      </c>
      <c r="F212" s="870">
        <f>ROUND(C212*E212/100,0)</f>
        <v>28172</v>
      </c>
      <c r="G212" s="876">
        <f>IF(F212="","",F212/$F$5)</f>
        <v>58.69166666666667</v>
      </c>
      <c r="H212" s="877"/>
      <c r="I212" s="878"/>
      <c r="J212" s="825"/>
      <c r="K212" s="836"/>
      <c r="L212" s="836"/>
      <c r="M212" s="837"/>
      <c r="N212" s="833"/>
      <c r="O212" s="833"/>
      <c r="T212" s="800"/>
      <c r="U212" s="800"/>
      <c r="V212" s="800"/>
      <c r="W212" s="800"/>
      <c r="X212" s="800"/>
      <c r="Y212" s="800"/>
      <c r="Z212" s="800"/>
      <c r="AA212" s="800"/>
      <c r="AB212" s="800"/>
      <c r="AC212" s="800"/>
      <c r="AD212" s="800"/>
      <c r="AE212" s="800"/>
      <c r="AF212" s="800"/>
      <c r="AG212" s="800"/>
      <c r="AH212" s="800"/>
      <c r="AI212" s="800"/>
    </row>
    <row r="213" spans="1:35" ht="11.5" x14ac:dyDescent="0.3">
      <c r="A213" s="784"/>
      <c r="B213" s="778"/>
      <c r="C213" s="851"/>
      <c r="D213" s="893"/>
      <c r="E213" s="851"/>
      <c r="F213" s="852"/>
      <c r="G213" s="894"/>
      <c r="H213" s="894"/>
      <c r="I213" s="895"/>
      <c r="J213" s="853"/>
      <c r="K213" s="836"/>
      <c r="L213" s="848"/>
      <c r="N213" s="833"/>
      <c r="S213" s="896"/>
      <c r="T213" s="897"/>
      <c r="U213" s="854"/>
    </row>
    <row r="214" spans="1:35" ht="11.5" x14ac:dyDescent="0.3">
      <c r="A214" s="788"/>
      <c r="B214" s="779" t="s">
        <v>581</v>
      </c>
      <c r="C214" s="763"/>
      <c r="D214" s="855"/>
      <c r="E214" s="856"/>
      <c r="F214" s="898" t="e">
        <f>F117+F122+F125+F131+F137+F141+F149+F154+F158+F170+F174</f>
        <v>#REF!</v>
      </c>
      <c r="G214" s="992" t="e">
        <f>IF(F214="","",F214/$G$5)</f>
        <v>#REF!</v>
      </c>
      <c r="H214" s="894" t="e">
        <f>H13+H19+H23+#REF!+#REF!+H29+H38+H46+H56+#REF!+#REF!+#REF!+H68+#REF!+#REF!+#REF!+#REF!+#REF!</f>
        <v>#REF!</v>
      </c>
      <c r="I214" s="895" t="e">
        <f>I13+I19+I23+#REF!+#REF!+I29+I38+I46+I56+#REF!+#REF!+#REF!+I68+#REF!+#REF!+#REF!+#REF!+#REF!</f>
        <v>#REF!</v>
      </c>
      <c r="J214" s="853" t="s">
        <v>583</v>
      </c>
      <c r="K214" s="836"/>
      <c r="L214" s="848"/>
      <c r="N214" s="833"/>
      <c r="S214" s="896"/>
      <c r="T214" s="897"/>
      <c r="U214" s="854"/>
    </row>
    <row r="215" spans="1:35" ht="11.5" x14ac:dyDescent="0.3">
      <c r="A215" s="792"/>
      <c r="B215" s="780" t="s">
        <v>585</v>
      </c>
      <c r="C215" s="763"/>
      <c r="D215" s="855"/>
      <c r="E215" s="856"/>
      <c r="F215" s="898" t="e">
        <f>SUM(F214:F214)</f>
        <v>#REF!</v>
      </c>
      <c r="G215" s="994" t="e">
        <f>IF(F215="","",F215/$G$5)</f>
        <v>#REF!</v>
      </c>
      <c r="H215" s="899"/>
      <c r="I215" s="900"/>
      <c r="J215" s="857"/>
      <c r="K215" s="836"/>
      <c r="L215" s="836"/>
      <c r="N215" s="833"/>
      <c r="S215" s="901"/>
      <c r="T215" s="902"/>
    </row>
    <row r="216" spans="1:35" ht="12" x14ac:dyDescent="0.3">
      <c r="B216" s="781"/>
      <c r="C216" s="858"/>
      <c r="D216" s="859"/>
      <c r="E216" s="858"/>
      <c r="F216" s="903"/>
      <c r="G216" s="904"/>
      <c r="H216" s="905"/>
      <c r="I216" s="906"/>
      <c r="J216" s="860"/>
      <c r="K216" s="836"/>
      <c r="L216" s="836"/>
      <c r="N216" s="833"/>
      <c r="S216" s="901"/>
      <c r="T216" s="902"/>
    </row>
    <row r="217" spans="1:35" ht="12.75" customHeight="1" x14ac:dyDescent="0.3">
      <c r="B217" s="782"/>
      <c r="C217" s="854"/>
      <c r="D217" s="826"/>
      <c r="E217" s="854"/>
      <c r="F217" s="861"/>
      <c r="G217" s="862"/>
      <c r="H217" s="863"/>
      <c r="I217" s="862"/>
      <c r="J217" s="854"/>
      <c r="K217" s="836"/>
      <c r="L217" s="836"/>
      <c r="N217" s="833"/>
      <c r="O217" s="833"/>
    </row>
    <row r="218" spans="1:35" s="860" customFormat="1" ht="12.75" customHeight="1" x14ac:dyDescent="0.3">
      <c r="A218" s="793"/>
      <c r="B218" s="814"/>
      <c r="C218" s="800"/>
      <c r="D218" s="803"/>
      <c r="E218" s="800"/>
      <c r="F218" s="800"/>
      <c r="G218" s="800"/>
      <c r="H218" s="864"/>
      <c r="I218" s="800"/>
      <c r="J218" s="800"/>
      <c r="K218" s="836"/>
      <c r="L218" s="836"/>
      <c r="M218" s="845"/>
      <c r="N218" s="836"/>
      <c r="O218" s="865"/>
      <c r="P218" s="845"/>
      <c r="Q218" s="836"/>
      <c r="R218" s="836"/>
      <c r="S218" s="836"/>
    </row>
    <row r="219" spans="1:35" s="864" customFormat="1" ht="12.75" customHeight="1" x14ac:dyDescent="0.3">
      <c r="A219" s="789"/>
      <c r="B219" s="814"/>
      <c r="C219" s="800"/>
      <c r="D219" s="803"/>
      <c r="E219" s="800"/>
      <c r="F219" s="800"/>
      <c r="G219" s="800"/>
      <c r="I219" s="800"/>
      <c r="J219" s="800"/>
      <c r="K219" s="803"/>
      <c r="L219" s="803"/>
      <c r="M219" s="831"/>
      <c r="N219" s="803"/>
      <c r="O219" s="803"/>
      <c r="P219" s="803"/>
      <c r="Q219" s="803"/>
      <c r="R219" s="803"/>
      <c r="S219" s="803"/>
      <c r="T219" s="800"/>
      <c r="U219" s="800"/>
      <c r="V219" s="800"/>
      <c r="W219" s="800"/>
      <c r="X219" s="800"/>
      <c r="Y219" s="800"/>
      <c r="Z219" s="800"/>
      <c r="AA219" s="800"/>
      <c r="AB219" s="800"/>
      <c r="AC219" s="800"/>
      <c r="AD219" s="800"/>
      <c r="AE219" s="800"/>
      <c r="AF219" s="800"/>
      <c r="AG219" s="800"/>
      <c r="AH219" s="800"/>
      <c r="AI219" s="800"/>
    </row>
    <row r="220" spans="1:35" s="864" customFormat="1" ht="12.75" customHeight="1" x14ac:dyDescent="0.3">
      <c r="A220" s="789"/>
      <c r="B220" s="814"/>
      <c r="C220" s="800"/>
      <c r="D220" s="803"/>
      <c r="E220" s="800"/>
      <c r="F220" s="800"/>
      <c r="G220" s="866"/>
      <c r="I220" s="800"/>
      <c r="J220" s="800"/>
      <c r="K220" s="803"/>
      <c r="L220" s="803"/>
      <c r="M220" s="831"/>
      <c r="N220" s="803"/>
      <c r="O220" s="803"/>
      <c r="P220" s="803"/>
      <c r="Q220" s="803"/>
      <c r="R220" s="803"/>
      <c r="S220" s="803"/>
      <c r="T220" s="800"/>
      <c r="U220" s="800"/>
      <c r="V220" s="800"/>
      <c r="W220" s="800"/>
      <c r="X220" s="800"/>
      <c r="Y220" s="800"/>
      <c r="Z220" s="800"/>
      <c r="AA220" s="800"/>
      <c r="AB220" s="800"/>
      <c r="AC220" s="800"/>
      <c r="AD220" s="800"/>
      <c r="AE220" s="800"/>
      <c r="AF220" s="800"/>
      <c r="AG220" s="800"/>
      <c r="AH220" s="800"/>
      <c r="AI220" s="800"/>
    </row>
    <row r="221" spans="1:35" s="864" customFormat="1" ht="12.75" customHeight="1" x14ac:dyDescent="0.3">
      <c r="A221" s="789"/>
      <c r="B221" s="814"/>
      <c r="C221" s="800"/>
      <c r="D221" s="803"/>
      <c r="E221" s="800"/>
      <c r="F221" s="800"/>
      <c r="G221" s="866"/>
      <c r="I221" s="800"/>
      <c r="J221" s="800"/>
      <c r="K221" s="803"/>
      <c r="L221" s="803"/>
      <c r="M221" s="831"/>
      <c r="N221" s="803"/>
      <c r="O221" s="803"/>
      <c r="P221" s="803"/>
      <c r="Q221" s="803"/>
      <c r="R221" s="803"/>
      <c r="S221" s="803"/>
      <c r="T221" s="800"/>
      <c r="U221" s="800"/>
      <c r="V221" s="800"/>
      <c r="W221" s="800"/>
      <c r="X221" s="800"/>
      <c r="Y221" s="800"/>
      <c r="Z221" s="800"/>
      <c r="AA221" s="800"/>
      <c r="AB221" s="800"/>
      <c r="AC221" s="800"/>
      <c r="AD221" s="800"/>
      <c r="AE221" s="800"/>
      <c r="AF221" s="800"/>
      <c r="AG221" s="800"/>
      <c r="AH221" s="800"/>
      <c r="AI221" s="800"/>
    </row>
    <row r="222" spans="1:35" s="864" customFormat="1" ht="12.75" customHeight="1" x14ac:dyDescent="0.3">
      <c r="A222" s="789"/>
      <c r="B222" s="814"/>
      <c r="C222" s="800"/>
      <c r="D222" s="803"/>
      <c r="E222" s="800"/>
      <c r="F222" s="800"/>
      <c r="G222" s="866"/>
      <c r="I222" s="800"/>
      <c r="J222" s="800"/>
      <c r="K222" s="803"/>
      <c r="L222" s="803"/>
      <c r="M222" s="831"/>
      <c r="N222" s="803"/>
      <c r="O222" s="803"/>
      <c r="P222" s="803"/>
      <c r="Q222" s="803"/>
      <c r="R222" s="803"/>
      <c r="S222" s="803"/>
      <c r="T222" s="800"/>
      <c r="U222" s="800"/>
      <c r="V222" s="800"/>
      <c r="W222" s="800"/>
      <c r="X222" s="800"/>
      <c r="Y222" s="800"/>
      <c r="Z222" s="800"/>
      <c r="AA222" s="800"/>
      <c r="AB222" s="800"/>
      <c r="AC222" s="800"/>
      <c r="AD222" s="800"/>
      <c r="AE222" s="800"/>
      <c r="AF222" s="800"/>
      <c r="AG222" s="800"/>
      <c r="AH222" s="800"/>
      <c r="AI222" s="800"/>
    </row>
  </sheetData>
  <sheetProtection selectLockedCells="1"/>
  <customSheetViews>
    <customSheetView guid="{2B0692CF-4177-422C-A620-ABA6158FDE4D}" scale="115" showPageBreaks="1" showGridLines="0" printArea="1" hiddenColumns="1" state="hidden" view="pageBreakPreview" topLeftCell="A193">
      <selection activeCell="F214" sqref="F214"/>
      <pageMargins left="0.47244094488188981" right="0.47244094488188981" top="0.39370078740157483" bottom="0.55118110236220474" header="0.19685039370078741" footer="0.15748031496062992"/>
      <pageSetup paperSize="9" firstPageNumber="19" fitToHeight="12" orientation="landscape" cellComments="asDisplayed" useFirstPageNumber="1" r:id="rId1"/>
      <headerFooter>
        <oddFooter>&amp;L&amp;8&amp;Z&amp;F&amp;R&amp;8Page &amp;P</oddFooter>
      </headerFooter>
    </customSheetView>
    <customSheetView guid="{6C33A4D3-AF33-443C-A522-C1A990C51A36}" scale="115" showPageBreaks="1" showGridLines="0" printArea="1" hiddenColumns="1" state="hidden" view="pageBreakPreview" topLeftCell="A193">
      <selection activeCell="F214" sqref="F214"/>
      <pageMargins left="0.47244094488188981" right="0.47244094488188981" top="0.39370078740157483" bottom="0.55118110236220474" header="0.19685039370078741" footer="0.15748031496062992"/>
      <pageSetup paperSize="9" firstPageNumber="19" fitToHeight="12" orientation="landscape" cellComments="asDisplayed" useFirstPageNumber="1" r:id="rId2"/>
      <headerFooter>
        <oddFooter>&amp;L&amp;8&amp;Z&amp;F&amp;R&amp;8Page &amp;P</oddFooter>
      </headerFooter>
    </customSheetView>
  </customSheetViews>
  <mergeCells count="11">
    <mergeCell ref="R1:R8"/>
    <mergeCell ref="M1:M8"/>
    <mergeCell ref="N1:N8"/>
    <mergeCell ref="O1:O8"/>
    <mergeCell ref="P1:P8"/>
    <mergeCell ref="Q1:Q8"/>
    <mergeCell ref="A3:A7"/>
    <mergeCell ref="C3:I4"/>
    <mergeCell ref="C5:E5"/>
    <mergeCell ref="C6:E6"/>
    <mergeCell ref="F6:G6"/>
  </mergeCells>
  <dataValidations count="1">
    <dataValidation allowBlank="1" showErrorMessage="1" promptTitle="Cost Plan:" prompt="Enter the Cost Plan element or stage here ie Demolituion and Enabling Works; Category A Fit Out etc" sqref="B3" xr:uid="{00000000-0002-0000-0D00-000000000000}"/>
  </dataValidations>
  <pageMargins left="0.47244094488188981" right="0.47244094488188981" top="0.39370078740157483" bottom="0.55118110236220474" header="0.19685039370078741" footer="0.15748031496062992"/>
  <pageSetup paperSize="9" firstPageNumber="19" fitToHeight="12" orientation="landscape" cellComments="asDisplayed" useFirstPageNumber="1" r:id="rId3"/>
  <headerFooter>
    <oddFooter>&amp;L&amp;8&amp;Z&amp;F&amp;R&amp;8Page &amp;P</oddFooter>
  </headerFooter>
  <drawing r:id="rId4"/>
  <legacyDrawing r:id="rId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3399"/>
    <pageSetUpPr fitToPage="1"/>
  </sheetPr>
  <dimension ref="A1:T140"/>
  <sheetViews>
    <sheetView view="pageBreakPreview" zoomScaleNormal="100" zoomScaleSheetLayoutView="100" zoomScalePageLayoutView="85" workbookViewId="0">
      <pane ySplit="9" topLeftCell="A106" activePane="bottomLeft" state="frozen"/>
      <selection pane="bottomLeft" activeCell="K128" sqref="K128"/>
    </sheetView>
  </sheetViews>
  <sheetFormatPr defaultColWidth="9" defaultRowHeight="14" x14ac:dyDescent="0.3"/>
  <cols>
    <col min="1" max="1" width="50.58203125" style="1074" customWidth="1"/>
    <col min="2" max="2" width="9.6640625" style="1057" bestFit="1" customWidth="1"/>
    <col min="3" max="3" width="9.08203125" style="1057" customWidth="1"/>
    <col min="4" max="4" width="10" style="1057" customWidth="1"/>
    <col min="5" max="5" width="9.6640625" style="1057" bestFit="1" customWidth="1"/>
    <col min="6" max="6" width="9.08203125" style="1057" customWidth="1"/>
    <col min="7" max="7" width="11.1640625" style="1057" customWidth="1"/>
    <col min="8" max="8" width="9.58203125" style="1057" hidden="1" customWidth="1"/>
    <col min="9" max="9" width="12.08203125" style="1057" hidden="1" customWidth="1"/>
    <col min="10" max="10" width="11.08203125" style="1057" hidden="1" customWidth="1"/>
    <col min="11" max="11" width="11.58203125" style="1057" bestFit="1" customWidth="1"/>
    <col min="12" max="12" width="56.58203125" style="1057" customWidth="1"/>
    <col min="13" max="13" width="8.08203125" style="1064" customWidth="1"/>
    <col min="14" max="14" width="16.33203125" style="1057" customWidth="1"/>
    <col min="15" max="22" width="10.5" style="1057" customWidth="1"/>
    <col min="23" max="16384" width="9" style="1057"/>
  </cols>
  <sheetData>
    <row r="1" spans="1:14" s="909" customFormat="1" ht="15.5" x14ac:dyDescent="0.3">
      <c r="A1" s="999" t="str">
        <f>'Pricing Schedule'!A1</f>
        <v>A. O. SHIRLEY RECREATIONAL GROUND - PERIMETER WALL CONSTRUCTION</v>
      </c>
      <c r="B1" s="910"/>
      <c r="C1" s="910"/>
      <c r="D1" s="910"/>
      <c r="E1" s="910"/>
      <c r="F1" s="910"/>
      <c r="G1" s="910"/>
      <c r="H1" s="910"/>
      <c r="I1" s="910"/>
      <c r="J1" s="910"/>
      <c r="K1" s="910"/>
      <c r="L1" s="910"/>
      <c r="M1" s="910"/>
    </row>
    <row r="2" spans="1:14" s="909" customFormat="1" ht="15.5" x14ac:dyDescent="0.3">
      <c r="A2" s="999" t="str">
        <f>'Pricing Schedule'!A2</f>
        <v xml:space="preserve">Part A Financial Submission- Pricing Shedule  </v>
      </c>
      <c r="B2" s="910"/>
      <c r="C2" s="910"/>
      <c r="D2" s="910"/>
      <c r="E2" s="910"/>
      <c r="F2" s="910"/>
      <c r="G2" s="910"/>
      <c r="H2" s="910"/>
      <c r="I2" s="910"/>
      <c r="J2" s="910"/>
      <c r="K2" s="910"/>
      <c r="L2" s="910"/>
      <c r="M2" s="1000"/>
    </row>
    <row r="3" spans="1:14" s="909" customFormat="1" ht="15.5" x14ac:dyDescent="0.3">
      <c r="A3" s="1001"/>
      <c r="B3" s="910"/>
      <c r="C3" s="910"/>
      <c r="D3" s="910"/>
      <c r="E3" s="910"/>
      <c r="F3" s="910"/>
      <c r="G3" s="910"/>
      <c r="H3" s="910"/>
      <c r="I3" s="910"/>
      <c r="J3" s="910"/>
      <c r="K3" s="910"/>
      <c r="L3" s="910"/>
      <c r="M3" s="1002"/>
    </row>
    <row r="4" spans="1:14" s="912" customFormat="1" ht="8.25" customHeight="1" thickBot="1" x14ac:dyDescent="0.35">
      <c r="A4" s="1003"/>
      <c r="B4" s="1004"/>
      <c r="C4" s="1004"/>
      <c r="D4" s="1004"/>
      <c r="E4" s="1004"/>
      <c r="F4" s="1004"/>
      <c r="G4" s="1004"/>
      <c r="H4" s="1004"/>
      <c r="I4" s="1004"/>
      <c r="J4" s="1004"/>
      <c r="K4" s="1004"/>
      <c r="L4" s="1004"/>
      <c r="M4" s="1005"/>
    </row>
    <row r="5" spans="1:14" s="909" customFormat="1" ht="6" customHeight="1" x14ac:dyDescent="0.3">
      <c r="A5" s="1006"/>
      <c r="B5" s="1006"/>
      <c r="C5" s="1006"/>
      <c r="D5" s="1006"/>
      <c r="E5" s="1007"/>
      <c r="F5" s="1007"/>
      <c r="G5" s="1007"/>
      <c r="H5" s="1007"/>
      <c r="I5" s="1007"/>
      <c r="J5" s="1007"/>
      <c r="K5" s="1007"/>
      <c r="L5" s="1007"/>
      <c r="M5" s="1002"/>
    </row>
    <row r="6" spans="1:14" s="912" customFormat="1" ht="19" x14ac:dyDescent="0.3">
      <c r="A6" s="1008" t="s">
        <v>712</v>
      </c>
      <c r="B6" s="980"/>
      <c r="C6" s="980"/>
      <c r="D6" s="980"/>
      <c r="E6" s="980"/>
      <c r="F6" s="980"/>
      <c r="G6" s="980"/>
      <c r="H6" s="980"/>
      <c r="I6" s="980"/>
      <c r="J6" s="980"/>
      <c r="K6" s="980"/>
      <c r="L6" s="980"/>
      <c r="M6" s="1005"/>
    </row>
    <row r="7" spans="1:14" s="912" customFormat="1" ht="6" customHeight="1" x14ac:dyDescent="0.3">
      <c r="A7" s="1009"/>
      <c r="B7" s="1010"/>
      <c r="C7" s="1010"/>
      <c r="D7" s="1010"/>
      <c r="E7" s="1010"/>
      <c r="F7" s="1010"/>
      <c r="G7" s="1010"/>
      <c r="H7" s="1010"/>
      <c r="I7" s="1010"/>
      <c r="J7" s="1010"/>
      <c r="K7" s="1010"/>
      <c r="L7" s="1010"/>
      <c r="M7" s="1005"/>
    </row>
    <row r="8" spans="1:14" s="1015" customFormat="1" ht="12.75" customHeight="1" x14ac:dyDescent="0.3">
      <c r="A8" s="1011"/>
      <c r="B8" s="1012"/>
      <c r="C8" s="1012"/>
      <c r="D8" s="1012"/>
      <c r="E8" s="1012"/>
      <c r="F8" s="1012"/>
      <c r="G8" s="1012"/>
      <c r="H8" s="1012"/>
      <c r="I8" s="1012"/>
      <c r="J8" s="1012"/>
      <c r="K8" s="1013"/>
      <c r="L8" s="1013"/>
      <c r="M8" s="1014"/>
    </row>
    <row r="9" spans="1:14" s="1018" customFormat="1" ht="36.75" customHeight="1" x14ac:dyDescent="0.3">
      <c r="A9" s="1016" t="s">
        <v>713</v>
      </c>
      <c r="B9" s="1016" t="s">
        <v>735</v>
      </c>
      <c r="C9" s="1016" t="s">
        <v>733</v>
      </c>
      <c r="D9" s="1016" t="s">
        <v>734</v>
      </c>
      <c r="E9" s="1016" t="s">
        <v>714</v>
      </c>
      <c r="F9" s="1016" t="s">
        <v>738</v>
      </c>
      <c r="G9" s="1016" t="s">
        <v>742</v>
      </c>
      <c r="H9" s="1016"/>
      <c r="I9" s="1016"/>
      <c r="J9" s="1016"/>
      <c r="K9" s="1016" t="s">
        <v>157</v>
      </c>
      <c r="L9" s="1016" t="s">
        <v>398</v>
      </c>
      <c r="M9" s="1017"/>
    </row>
    <row r="10" spans="1:14" s="1015" customFormat="1" ht="12" customHeight="1" x14ac:dyDescent="0.3">
      <c r="A10" s="1019" t="s">
        <v>715</v>
      </c>
      <c r="B10" s="1020"/>
      <c r="C10" s="1020">
        <v>75</v>
      </c>
      <c r="D10" s="1020">
        <v>42</v>
      </c>
      <c r="E10" s="1020"/>
      <c r="F10" s="1020"/>
      <c r="G10" s="1020"/>
      <c r="H10" s="1078"/>
      <c r="I10" s="1078"/>
      <c r="J10" s="1078"/>
      <c r="K10" s="1020">
        <f>SUM(B10:I10)</f>
        <v>117</v>
      </c>
      <c r="L10" s="1331" t="s">
        <v>716</v>
      </c>
      <c r="M10" s="1021"/>
    </row>
    <row r="11" spans="1:14" s="1015" customFormat="1" ht="12" customHeight="1" x14ac:dyDescent="0.3">
      <c r="A11" s="1019" t="s">
        <v>717</v>
      </c>
      <c r="B11" s="1020"/>
      <c r="C11" s="1020">
        <f>C12*2.4</f>
        <v>105.6</v>
      </c>
      <c r="D11" s="1020">
        <f>D12*2.4</f>
        <v>91.2</v>
      </c>
      <c r="E11" s="1020"/>
      <c r="F11" s="1020"/>
      <c r="G11" s="1020"/>
      <c r="H11" s="1078"/>
      <c r="I11" s="1078"/>
      <c r="J11" s="1078"/>
      <c r="K11" s="1020">
        <f>SUM(B11:I11)</f>
        <v>196.8</v>
      </c>
      <c r="L11" s="1332"/>
      <c r="M11" s="1014"/>
    </row>
    <row r="12" spans="1:14" s="1015" customFormat="1" ht="12" customHeight="1" x14ac:dyDescent="0.3">
      <c r="A12" s="1019" t="s">
        <v>718</v>
      </c>
      <c r="B12" s="1020"/>
      <c r="C12" s="1022">
        <v>44</v>
      </c>
      <c r="D12" s="1022">
        <v>38</v>
      </c>
      <c r="E12" s="1022"/>
      <c r="F12" s="1022"/>
      <c r="G12" s="1022"/>
      <c r="H12" s="1079"/>
      <c r="I12" s="1079"/>
      <c r="J12" s="1079"/>
      <c r="K12" s="1020">
        <f>SUM(B12:I12)</f>
        <v>82</v>
      </c>
      <c r="L12" s="1332"/>
      <c r="M12" s="1014"/>
    </row>
    <row r="13" spans="1:14" s="1015" customFormat="1" ht="11.5" x14ac:dyDescent="0.3">
      <c r="A13" s="1023"/>
      <c r="B13" s="1024"/>
      <c r="C13" s="1024"/>
      <c r="D13" s="1024"/>
      <c r="E13" s="1024"/>
      <c r="F13" s="1024"/>
      <c r="G13" s="1024"/>
      <c r="H13" s="1024"/>
      <c r="I13" s="1024"/>
      <c r="J13" s="1024"/>
      <c r="K13" s="1025"/>
      <c r="L13" s="1026"/>
      <c r="M13" s="1014"/>
    </row>
    <row r="14" spans="1:14" s="1015" customFormat="1" ht="11.5" x14ac:dyDescent="0.3">
      <c r="A14" s="1080" t="s">
        <v>719</v>
      </c>
      <c r="B14" s="1081"/>
      <c r="C14" s="1081"/>
      <c r="D14" s="1081"/>
      <c r="E14" s="1081"/>
      <c r="F14" s="1082"/>
      <c r="G14" s="1081"/>
      <c r="H14" s="1081"/>
      <c r="I14" s="1081"/>
      <c r="J14" s="1081"/>
      <c r="K14" s="1083" t="e">
        <f>SUM(K15:K35)</f>
        <v>#REF!</v>
      </c>
      <c r="L14" s="1085"/>
      <c r="M14" s="1031"/>
    </row>
    <row r="15" spans="1:14" s="1015" customFormat="1" ht="11.5" x14ac:dyDescent="0.3">
      <c r="A15" s="1086" t="s">
        <v>659</v>
      </c>
      <c r="B15" s="1028"/>
      <c r="C15" s="1028"/>
      <c r="D15" s="1028"/>
      <c r="E15" s="1028"/>
      <c r="F15" s="1029"/>
      <c r="G15" s="1028"/>
      <c r="H15" s="1028"/>
      <c r="I15" s="1028"/>
      <c r="J15" s="1028"/>
      <c r="K15" s="1033"/>
      <c r="L15" s="1034"/>
      <c r="M15" s="1031"/>
    </row>
    <row r="16" spans="1:14" s="1015" customFormat="1" ht="23" x14ac:dyDescent="0.3">
      <c r="A16" s="1032" t="s">
        <v>642</v>
      </c>
      <c r="B16" s="1028" t="e">
        <f>'Pricing Schedule'!#REF!</f>
        <v>#REF!</v>
      </c>
      <c r="C16" s="1028"/>
      <c r="D16" s="1028"/>
      <c r="E16" s="1028"/>
      <c r="F16" s="1029"/>
      <c r="G16" s="1028"/>
      <c r="H16" s="1028"/>
      <c r="I16" s="1028"/>
      <c r="J16" s="1028"/>
      <c r="K16" s="1033" t="e">
        <f t="shared" ref="K16:K27" si="0">SUM(B16:I16)</f>
        <v>#REF!</v>
      </c>
      <c r="L16" s="1034" t="s">
        <v>699</v>
      </c>
      <c r="M16" s="1035"/>
      <c r="N16" s="1036"/>
    </row>
    <row r="17" spans="1:13" s="1015" customFormat="1" ht="23" x14ac:dyDescent="0.3">
      <c r="A17" s="1032" t="s">
        <v>642</v>
      </c>
      <c r="B17" s="1028" t="e">
        <f>'Pricing Schedule'!#REF!</f>
        <v>#REF!</v>
      </c>
      <c r="C17" s="1028"/>
      <c r="D17" s="1028"/>
      <c r="E17" s="1028"/>
      <c r="F17" s="1028"/>
      <c r="G17" s="1028"/>
      <c r="H17" s="1028"/>
      <c r="I17" s="1028"/>
      <c r="J17" s="1028"/>
      <c r="K17" s="1033" t="e">
        <f t="shared" si="0"/>
        <v>#REF!</v>
      </c>
      <c r="L17" s="1034" t="s">
        <v>700</v>
      </c>
      <c r="M17" s="1037"/>
    </row>
    <row r="18" spans="1:13" s="1015" customFormat="1" ht="11.5" x14ac:dyDescent="0.3">
      <c r="A18" s="1032"/>
      <c r="B18" s="1028"/>
      <c r="C18" s="1028"/>
      <c r="D18" s="1028"/>
      <c r="E18" s="1028"/>
      <c r="F18" s="1028"/>
      <c r="G18" s="1028"/>
      <c r="H18" s="1028"/>
      <c r="I18" s="1028"/>
      <c r="J18" s="1028"/>
      <c r="K18" s="1033">
        <f t="shared" si="0"/>
        <v>0</v>
      </c>
      <c r="L18" s="1034"/>
      <c r="M18" s="1037"/>
    </row>
    <row r="19" spans="1:13" s="1015" customFormat="1" ht="11.5" x14ac:dyDescent="0.3">
      <c r="A19" s="1086" t="s">
        <v>737</v>
      </c>
      <c r="B19" s="1028"/>
      <c r="C19" s="1028"/>
      <c r="D19" s="1028"/>
      <c r="E19" s="1028"/>
      <c r="F19" s="1028"/>
      <c r="G19" s="1028"/>
      <c r="H19" s="1028"/>
      <c r="I19" s="1028"/>
      <c r="J19" s="1028"/>
      <c r="K19" s="1033">
        <f t="shared" si="0"/>
        <v>0</v>
      </c>
      <c r="L19" s="1034" t="s">
        <v>691</v>
      </c>
      <c r="M19" s="1031"/>
    </row>
    <row r="20" spans="1:13" s="1015" customFormat="1" ht="23" x14ac:dyDescent="0.3">
      <c r="A20" s="1032" t="s">
        <v>642</v>
      </c>
      <c r="B20" s="1028"/>
      <c r="C20" s="1028" t="e">
        <f>'Pricing Schedule'!#REF!</f>
        <v>#REF!</v>
      </c>
      <c r="D20" s="1028"/>
      <c r="E20" s="1028"/>
      <c r="F20" s="1028"/>
      <c r="G20" s="1028"/>
      <c r="H20" s="1028"/>
      <c r="I20" s="1028"/>
      <c r="J20" s="1028"/>
      <c r="K20" s="1033" t="e">
        <f t="shared" si="0"/>
        <v>#REF!</v>
      </c>
      <c r="L20" s="1034" t="s">
        <v>693</v>
      </c>
      <c r="M20" s="1031"/>
    </row>
    <row r="21" spans="1:13" s="1015" customFormat="1" ht="23" x14ac:dyDescent="0.3">
      <c r="A21" s="1032" t="s">
        <v>642</v>
      </c>
      <c r="B21" s="1028"/>
      <c r="C21" s="1028" t="e">
        <f>'Pricing Schedule'!#REF!</f>
        <v>#REF!</v>
      </c>
      <c r="D21" s="1028"/>
      <c r="E21" s="1028"/>
      <c r="F21" s="1028"/>
      <c r="G21" s="1028"/>
      <c r="H21" s="1028"/>
      <c r="I21" s="1028"/>
      <c r="J21" s="1028"/>
      <c r="K21" s="1033" t="e">
        <f t="shared" si="0"/>
        <v>#REF!</v>
      </c>
      <c r="L21" s="1034" t="s">
        <v>701</v>
      </c>
      <c r="M21" s="1031"/>
    </row>
    <row r="22" spans="1:13" s="1015" customFormat="1" ht="23" x14ac:dyDescent="0.3">
      <c r="A22" s="1032" t="s">
        <v>642</v>
      </c>
      <c r="B22" s="1028"/>
      <c r="C22" s="1028" t="e">
        <f>'Pricing Schedule'!#REF!</f>
        <v>#REF!</v>
      </c>
      <c r="D22" s="1028"/>
      <c r="E22" s="1028"/>
      <c r="F22" s="1028"/>
      <c r="G22" s="1028"/>
      <c r="H22" s="1028"/>
      <c r="I22" s="1028"/>
      <c r="J22" s="1028"/>
      <c r="K22" s="1033" t="e">
        <f t="shared" si="0"/>
        <v>#REF!</v>
      </c>
      <c r="L22" s="1034" t="s">
        <v>702</v>
      </c>
      <c r="M22" s="1031"/>
    </row>
    <row r="23" spans="1:13" s="1015" customFormat="1" ht="23" x14ac:dyDescent="0.3">
      <c r="A23" s="1032" t="s">
        <v>642</v>
      </c>
      <c r="B23" s="1028"/>
      <c r="C23" s="1028" t="e">
        <f>'Pricing Schedule'!#REF!</f>
        <v>#REF!</v>
      </c>
      <c r="D23" s="1028"/>
      <c r="E23" s="1028"/>
      <c r="F23" s="1028"/>
      <c r="G23" s="1028"/>
      <c r="H23" s="1028"/>
      <c r="I23" s="1028"/>
      <c r="J23" s="1028"/>
      <c r="K23" s="1033" t="e">
        <f t="shared" si="0"/>
        <v>#REF!</v>
      </c>
      <c r="L23" s="1034" t="s">
        <v>692</v>
      </c>
      <c r="M23" s="1031"/>
    </row>
    <row r="24" spans="1:13" s="1015" customFormat="1" ht="23" x14ac:dyDescent="0.3">
      <c r="A24" s="1032" t="s">
        <v>642</v>
      </c>
      <c r="B24" s="1028"/>
      <c r="C24" s="1028" t="e">
        <f>'Pricing Schedule'!#REF!</f>
        <v>#REF!</v>
      </c>
      <c r="D24" s="1028"/>
      <c r="E24" s="1028"/>
      <c r="F24" s="1028"/>
      <c r="G24" s="1028"/>
      <c r="H24" s="1028"/>
      <c r="I24" s="1028"/>
      <c r="J24" s="1028"/>
      <c r="K24" s="1033" t="e">
        <f t="shared" si="0"/>
        <v>#REF!</v>
      </c>
      <c r="L24" s="1034" t="s">
        <v>703</v>
      </c>
      <c r="M24" s="1031"/>
    </row>
    <row r="25" spans="1:13" s="1015" customFormat="1" ht="23" x14ac:dyDescent="0.3">
      <c r="A25" s="1032" t="s">
        <v>642</v>
      </c>
      <c r="B25" s="1028"/>
      <c r="C25" s="1028" t="e">
        <f>'Pricing Schedule'!#REF!</f>
        <v>#REF!</v>
      </c>
      <c r="D25" s="1028"/>
      <c r="E25" s="1028"/>
      <c r="F25" s="1028"/>
      <c r="G25" s="1028"/>
      <c r="H25" s="1028"/>
      <c r="I25" s="1028"/>
      <c r="J25" s="1028"/>
      <c r="K25" s="1033" t="e">
        <f t="shared" si="0"/>
        <v>#REF!</v>
      </c>
      <c r="L25" s="1034" t="s">
        <v>644</v>
      </c>
      <c r="M25" s="1031"/>
    </row>
    <row r="26" spans="1:13" s="1015" customFormat="1" ht="11.5" x14ac:dyDescent="0.3">
      <c r="A26" s="1032" t="s">
        <v>661</v>
      </c>
      <c r="B26" s="1028"/>
      <c r="C26" s="1028" t="e">
        <f>'Pricing Schedule'!#REF!</f>
        <v>#REF!</v>
      </c>
      <c r="D26" s="1028"/>
      <c r="E26" s="1028"/>
      <c r="F26" s="1028"/>
      <c r="G26" s="1028"/>
      <c r="H26" s="1028"/>
      <c r="I26" s="1028"/>
      <c r="J26" s="1028"/>
      <c r="K26" s="1033" t="e">
        <f t="shared" si="0"/>
        <v>#REF!</v>
      </c>
      <c r="L26" s="1034" t="s">
        <v>644</v>
      </c>
      <c r="M26" s="1031"/>
    </row>
    <row r="27" spans="1:13" s="1015" customFormat="1" ht="11.5" x14ac:dyDescent="0.3">
      <c r="A27" s="1032" t="s">
        <v>649</v>
      </c>
      <c r="B27" s="1028"/>
      <c r="C27" s="1028" t="e">
        <f>'Pricing Schedule'!#REF!</f>
        <v>#REF!</v>
      </c>
      <c r="D27" s="1028"/>
      <c r="E27" s="1028"/>
      <c r="F27" s="1028"/>
      <c r="G27" s="1028"/>
      <c r="H27" s="1028"/>
      <c r="I27" s="1028"/>
      <c r="J27" s="1028"/>
      <c r="K27" s="1033" t="e">
        <f t="shared" si="0"/>
        <v>#REF!</v>
      </c>
      <c r="L27" s="1034"/>
      <c r="M27" s="1031"/>
    </row>
    <row r="28" spans="1:13" s="1015" customFormat="1" ht="11.5" x14ac:dyDescent="0.3">
      <c r="A28" s="1032"/>
      <c r="B28" s="1028"/>
      <c r="C28" s="1028"/>
      <c r="D28" s="1028"/>
      <c r="E28" s="1028"/>
      <c r="F28" s="1028"/>
      <c r="G28" s="1028"/>
      <c r="H28" s="1028"/>
      <c r="I28" s="1028"/>
      <c r="J28" s="1028"/>
      <c r="K28" s="1033"/>
      <c r="L28" s="1034"/>
      <c r="M28" s="1031"/>
    </row>
    <row r="29" spans="1:13" s="1015" customFormat="1" ht="11.5" x14ac:dyDescent="0.3">
      <c r="A29" s="1086" t="s">
        <v>736</v>
      </c>
      <c r="B29" s="1028"/>
      <c r="C29" s="1028"/>
      <c r="D29" s="1028"/>
      <c r="E29" s="1028"/>
      <c r="F29" s="1028"/>
      <c r="G29" s="1028"/>
      <c r="H29" s="1028"/>
      <c r="I29" s="1028"/>
      <c r="J29" s="1028"/>
      <c r="K29" s="1033"/>
      <c r="L29" s="1034"/>
      <c r="M29" s="1031"/>
    </row>
    <row r="30" spans="1:13" s="1015" customFormat="1" ht="23" x14ac:dyDescent="0.3">
      <c r="A30" s="1032" t="s">
        <v>642</v>
      </c>
      <c r="B30" s="1028"/>
      <c r="C30" s="1028"/>
      <c r="D30" s="1028" t="e">
        <f>#REF!</f>
        <v>#REF!</v>
      </c>
      <c r="E30" s="1028"/>
      <c r="F30" s="1028"/>
      <c r="G30" s="1028"/>
      <c r="H30" s="1028"/>
      <c r="I30" s="1028"/>
      <c r="J30" s="1028"/>
      <c r="K30" s="1033" t="e">
        <f t="shared" ref="K30:K35" si="1">SUM(B30:I30)</f>
        <v>#REF!</v>
      </c>
      <c r="L30" s="1034" t="s">
        <v>709</v>
      </c>
      <c r="M30" s="1031"/>
    </row>
    <row r="31" spans="1:13" s="1015" customFormat="1" ht="23" x14ac:dyDescent="0.3">
      <c r="A31" s="1032" t="s">
        <v>642</v>
      </c>
      <c r="B31" s="1028"/>
      <c r="C31" s="1028"/>
      <c r="D31" s="1028" t="e">
        <f>#REF!</f>
        <v>#REF!</v>
      </c>
      <c r="E31" s="1028"/>
      <c r="F31" s="1028"/>
      <c r="G31" s="1028"/>
      <c r="H31" s="1028"/>
      <c r="I31" s="1028"/>
      <c r="J31" s="1028"/>
      <c r="K31" s="1033" t="e">
        <f t="shared" si="1"/>
        <v>#REF!</v>
      </c>
      <c r="L31" s="1034" t="s">
        <v>693</v>
      </c>
      <c r="M31" s="1031"/>
    </row>
    <row r="32" spans="1:13" s="1015" customFormat="1" ht="23" x14ac:dyDescent="0.3">
      <c r="A32" s="1032" t="s">
        <v>642</v>
      </c>
      <c r="B32" s="1028"/>
      <c r="C32" s="1028"/>
      <c r="D32" s="1028" t="e">
        <f>#REF!</f>
        <v>#REF!</v>
      </c>
      <c r="E32" s="1028"/>
      <c r="F32" s="1028"/>
      <c r="G32" s="1028"/>
      <c r="H32" s="1028"/>
      <c r="I32" s="1028"/>
      <c r="J32" s="1028"/>
      <c r="K32" s="1033" t="e">
        <f t="shared" si="1"/>
        <v>#REF!</v>
      </c>
      <c r="L32" s="1034" t="s">
        <v>701</v>
      </c>
      <c r="M32" s="1031"/>
    </row>
    <row r="33" spans="1:13" s="1015" customFormat="1" ht="23" x14ac:dyDescent="0.3">
      <c r="A33" s="1032" t="s">
        <v>642</v>
      </c>
      <c r="B33" s="1028"/>
      <c r="C33" s="1028"/>
      <c r="D33" s="1028" t="e">
        <f>#REF!</f>
        <v>#REF!</v>
      </c>
      <c r="E33" s="1028"/>
      <c r="F33" s="1028"/>
      <c r="G33" s="1028"/>
      <c r="H33" s="1028"/>
      <c r="I33" s="1028"/>
      <c r="J33" s="1028"/>
      <c r="K33" s="1033" t="e">
        <f t="shared" si="1"/>
        <v>#REF!</v>
      </c>
      <c r="L33" s="1034" t="s">
        <v>703</v>
      </c>
      <c r="M33" s="1031"/>
    </row>
    <row r="34" spans="1:13" s="1015" customFormat="1" ht="11.5" x14ac:dyDescent="0.3">
      <c r="A34" s="1032" t="s">
        <v>661</v>
      </c>
      <c r="B34" s="1028"/>
      <c r="C34" s="1028"/>
      <c r="D34" s="1028" t="e">
        <f>#REF!</f>
        <v>#REF!</v>
      </c>
      <c r="E34" s="1028"/>
      <c r="F34" s="1028"/>
      <c r="G34" s="1028"/>
      <c r="H34" s="1028"/>
      <c r="I34" s="1028"/>
      <c r="J34" s="1028"/>
      <c r="K34" s="1033" t="e">
        <f t="shared" si="1"/>
        <v>#REF!</v>
      </c>
      <c r="L34" s="1034" t="s">
        <v>644</v>
      </c>
      <c r="M34" s="1031"/>
    </row>
    <row r="35" spans="1:13" s="1015" customFormat="1" ht="11.5" x14ac:dyDescent="0.3">
      <c r="A35" s="1032" t="s">
        <v>649</v>
      </c>
      <c r="B35" s="1028"/>
      <c r="C35" s="1028"/>
      <c r="D35" s="1028" t="e">
        <f>#REF!</f>
        <v>#REF!</v>
      </c>
      <c r="E35" s="1028"/>
      <c r="F35" s="1028"/>
      <c r="G35" s="1028"/>
      <c r="H35" s="1028"/>
      <c r="I35" s="1028"/>
      <c r="J35" s="1028"/>
      <c r="K35" s="1033" t="e">
        <f t="shared" si="1"/>
        <v>#REF!</v>
      </c>
      <c r="L35" s="1034" t="s">
        <v>644</v>
      </c>
      <c r="M35" s="1031"/>
    </row>
    <row r="36" spans="1:13" s="1015" customFormat="1" ht="11.5" x14ac:dyDescent="0.3">
      <c r="A36" s="1032"/>
      <c r="B36" s="1028"/>
      <c r="C36" s="1028"/>
      <c r="D36" s="1028"/>
      <c r="E36" s="1028"/>
      <c r="F36" s="1029"/>
      <c r="G36" s="1028"/>
      <c r="H36" s="1028"/>
      <c r="I36" s="1028"/>
      <c r="J36" s="1028"/>
      <c r="K36" s="1033"/>
      <c r="L36" s="1026"/>
      <c r="M36" s="1031"/>
    </row>
    <row r="37" spans="1:13" s="1015" customFormat="1" ht="11.5" x14ac:dyDescent="0.3">
      <c r="A37" s="1080" t="s">
        <v>46</v>
      </c>
      <c r="B37" s="1081"/>
      <c r="C37" s="1081"/>
      <c r="D37" s="1081"/>
      <c r="E37" s="1081"/>
      <c r="F37" s="1082"/>
      <c r="G37" s="1081"/>
      <c r="H37" s="1081"/>
      <c r="I37" s="1081"/>
      <c r="J37" s="1081"/>
      <c r="K37" s="1083">
        <f>SUM(K38:K39)</f>
        <v>0</v>
      </c>
      <c r="L37" s="1085"/>
      <c r="M37" s="1031"/>
    </row>
    <row r="38" spans="1:13" s="1015" customFormat="1" ht="11.5" x14ac:dyDescent="0.3">
      <c r="A38" s="1032" t="s">
        <v>720</v>
      </c>
      <c r="B38" s="1028"/>
      <c r="C38" s="1028"/>
      <c r="D38" s="1028"/>
      <c r="E38" s="1028"/>
      <c r="F38" s="1029"/>
      <c r="G38" s="1028"/>
      <c r="H38" s="1028"/>
      <c r="I38" s="1028"/>
      <c r="J38" s="1028"/>
      <c r="K38" s="1033"/>
      <c r="L38" s="1034"/>
      <c r="M38" s="1031"/>
    </row>
    <row r="39" spans="1:13" s="1015" customFormat="1" ht="11.5" x14ac:dyDescent="0.3">
      <c r="A39" s="1032"/>
      <c r="B39" s="1028"/>
      <c r="C39" s="1028"/>
      <c r="D39" s="1028"/>
      <c r="E39" s="1028"/>
      <c r="F39" s="1029"/>
      <c r="G39" s="1028"/>
      <c r="H39" s="1028"/>
      <c r="I39" s="1028"/>
      <c r="J39" s="1028"/>
      <c r="K39" s="1033"/>
      <c r="L39" s="1026"/>
      <c r="M39" s="1031"/>
    </row>
    <row r="40" spans="1:13" s="1015" customFormat="1" ht="11.5" x14ac:dyDescent="0.3">
      <c r="A40" s="1080" t="s">
        <v>47</v>
      </c>
      <c r="B40" s="1081"/>
      <c r="C40" s="1081"/>
      <c r="D40" s="1081"/>
      <c r="E40" s="1081"/>
      <c r="F40" s="1082"/>
      <c r="G40" s="1081"/>
      <c r="H40" s="1081"/>
      <c r="I40" s="1081"/>
      <c r="J40" s="1081"/>
      <c r="K40" s="1083">
        <f>SUM(K41:K42)</f>
        <v>0</v>
      </c>
      <c r="L40" s="1085"/>
      <c r="M40" s="1031"/>
    </row>
    <row r="41" spans="1:13" s="1015" customFormat="1" ht="11.5" x14ac:dyDescent="0.3">
      <c r="A41" s="1032" t="s">
        <v>720</v>
      </c>
      <c r="B41" s="1028"/>
      <c r="C41" s="1028"/>
      <c r="D41" s="1028"/>
      <c r="E41" s="1028"/>
      <c r="F41" s="1029"/>
      <c r="G41" s="1028"/>
      <c r="H41" s="1028"/>
      <c r="I41" s="1028"/>
      <c r="J41" s="1028"/>
      <c r="K41" s="1033"/>
      <c r="L41" s="1034"/>
      <c r="M41" s="1031"/>
    </row>
    <row r="42" spans="1:13" s="1015" customFormat="1" ht="11.5" x14ac:dyDescent="0.3">
      <c r="A42" s="1032"/>
      <c r="B42" s="1028"/>
      <c r="C42" s="1028"/>
      <c r="D42" s="1028"/>
      <c r="E42" s="1028"/>
      <c r="F42" s="1029"/>
      <c r="G42" s="1028"/>
      <c r="H42" s="1028"/>
      <c r="I42" s="1028"/>
      <c r="J42" s="1028"/>
      <c r="K42" s="1033"/>
      <c r="L42" s="1026"/>
      <c r="M42" s="1031"/>
    </row>
    <row r="43" spans="1:13" s="1015" customFormat="1" ht="11.5" x14ac:dyDescent="0.3">
      <c r="A43" s="1080" t="s">
        <v>721</v>
      </c>
      <c r="B43" s="1081"/>
      <c r="C43" s="1081"/>
      <c r="D43" s="1081"/>
      <c r="E43" s="1081"/>
      <c r="F43" s="1082"/>
      <c r="G43" s="1081"/>
      <c r="H43" s="1081"/>
      <c r="I43" s="1081"/>
      <c r="J43" s="1081"/>
      <c r="K43" s="1083">
        <f>SUM(K44:K45)</f>
        <v>0</v>
      </c>
      <c r="L43" s="1085"/>
      <c r="M43" s="1031"/>
    </row>
    <row r="44" spans="1:13" s="1015" customFormat="1" ht="11.5" x14ac:dyDescent="0.3">
      <c r="A44" s="1032" t="s">
        <v>720</v>
      </c>
      <c r="B44" s="1028"/>
      <c r="C44" s="1028"/>
      <c r="D44" s="1028"/>
      <c r="E44" s="1028"/>
      <c r="F44" s="1029"/>
      <c r="G44" s="1028"/>
      <c r="H44" s="1028"/>
      <c r="I44" s="1028"/>
      <c r="J44" s="1028"/>
      <c r="K44" s="1033"/>
      <c r="L44" s="1026"/>
      <c r="M44" s="1031"/>
    </row>
    <row r="45" spans="1:13" s="1015" customFormat="1" ht="11.5" x14ac:dyDescent="0.3">
      <c r="A45" s="1032"/>
      <c r="B45" s="1028"/>
      <c r="C45" s="1028"/>
      <c r="D45" s="1028"/>
      <c r="E45" s="1028"/>
      <c r="F45" s="1029"/>
      <c r="G45" s="1028"/>
      <c r="H45" s="1028"/>
      <c r="I45" s="1028"/>
      <c r="J45" s="1028"/>
      <c r="K45" s="1033"/>
      <c r="L45" s="1034"/>
      <c r="M45" s="1031"/>
    </row>
    <row r="46" spans="1:13" s="1015" customFormat="1" ht="11.5" x14ac:dyDescent="0.3">
      <c r="A46" s="1080" t="s">
        <v>120</v>
      </c>
      <c r="B46" s="1081"/>
      <c r="C46" s="1081"/>
      <c r="D46" s="1081"/>
      <c r="E46" s="1081"/>
      <c r="F46" s="1082"/>
      <c r="G46" s="1081"/>
      <c r="H46" s="1081"/>
      <c r="I46" s="1081"/>
      <c r="J46" s="1081"/>
      <c r="K46" s="1083">
        <f>SUM(K47:K48)</f>
        <v>0</v>
      </c>
      <c r="L46" s="1084"/>
      <c r="M46" s="1031"/>
    </row>
    <row r="47" spans="1:13" s="1015" customFormat="1" ht="11.5" x14ac:dyDescent="0.3">
      <c r="A47" s="1032" t="s">
        <v>720</v>
      </c>
      <c r="B47" s="1028"/>
      <c r="C47" s="1028"/>
      <c r="D47" s="1028"/>
      <c r="E47" s="1028"/>
      <c r="F47" s="1029"/>
      <c r="G47" s="1028"/>
      <c r="H47" s="1028"/>
      <c r="I47" s="1028"/>
      <c r="J47" s="1028"/>
      <c r="K47" s="1033"/>
      <c r="L47" s="1034"/>
      <c r="M47" s="1031"/>
    </row>
    <row r="48" spans="1:13" s="1015" customFormat="1" ht="11.5" x14ac:dyDescent="0.3">
      <c r="A48" s="1032"/>
      <c r="B48" s="1028"/>
      <c r="C48" s="1028"/>
      <c r="D48" s="1028"/>
      <c r="E48" s="1028"/>
      <c r="F48" s="1029"/>
      <c r="G48" s="1028"/>
      <c r="H48" s="1028"/>
      <c r="I48" s="1028"/>
      <c r="J48" s="1028"/>
      <c r="K48" s="1033"/>
      <c r="L48" s="1034"/>
      <c r="M48" s="1031"/>
    </row>
    <row r="49" spans="1:13" s="1015" customFormat="1" ht="11.5" x14ac:dyDescent="0.3">
      <c r="A49" s="1080" t="s">
        <v>49</v>
      </c>
      <c r="B49" s="1081"/>
      <c r="C49" s="1081"/>
      <c r="D49" s="1081"/>
      <c r="E49" s="1081"/>
      <c r="F49" s="1082"/>
      <c r="G49" s="1081"/>
      <c r="H49" s="1081"/>
      <c r="I49" s="1081"/>
      <c r="J49" s="1081"/>
      <c r="K49" s="1083">
        <f>SUM(K50:K51)</f>
        <v>0</v>
      </c>
      <c r="L49" s="1084"/>
      <c r="M49" s="1031"/>
    </row>
    <row r="50" spans="1:13" s="1015" customFormat="1" ht="11.5" x14ac:dyDescent="0.3">
      <c r="A50" s="1032" t="s">
        <v>720</v>
      </c>
      <c r="B50" s="1028"/>
      <c r="C50" s="1028"/>
      <c r="D50" s="1028"/>
      <c r="E50" s="1028"/>
      <c r="F50" s="1029"/>
      <c r="G50" s="1028"/>
      <c r="H50" s="1028"/>
      <c r="I50" s="1028"/>
      <c r="J50" s="1028"/>
      <c r="K50" s="1030"/>
      <c r="L50" s="1034"/>
      <c r="M50" s="1031"/>
    </row>
    <row r="51" spans="1:13" s="1015" customFormat="1" ht="11.5" x14ac:dyDescent="0.3">
      <c r="A51" s="1032"/>
      <c r="B51" s="1028"/>
      <c r="C51" s="1028"/>
      <c r="D51" s="1028"/>
      <c r="E51" s="1028"/>
      <c r="F51" s="1029"/>
      <c r="G51" s="1028"/>
      <c r="H51" s="1028"/>
      <c r="I51" s="1028"/>
      <c r="J51" s="1028"/>
      <c r="K51" s="1033"/>
      <c r="L51" s="1034"/>
      <c r="M51" s="1031"/>
    </row>
    <row r="52" spans="1:13" s="1015" customFormat="1" ht="11.5" x14ac:dyDescent="0.3">
      <c r="A52" s="1080" t="s">
        <v>236</v>
      </c>
      <c r="B52" s="1081"/>
      <c r="C52" s="1081"/>
      <c r="D52" s="1081"/>
      <c r="E52" s="1081"/>
      <c r="F52" s="1082"/>
      <c r="G52" s="1081"/>
      <c r="H52" s="1081"/>
      <c r="I52" s="1081"/>
      <c r="J52" s="1081"/>
      <c r="K52" s="1083">
        <f>SUM(K53:K54)</f>
        <v>0</v>
      </c>
      <c r="L52" s="1084"/>
      <c r="M52" s="1031"/>
    </row>
    <row r="53" spans="1:13" s="1015" customFormat="1" ht="11.5" x14ac:dyDescent="0.3">
      <c r="A53" s="1032" t="s">
        <v>720</v>
      </c>
      <c r="B53" s="1028"/>
      <c r="C53" s="1028"/>
      <c r="D53" s="1028"/>
      <c r="E53" s="1028"/>
      <c r="F53" s="1029"/>
      <c r="G53" s="1028"/>
      <c r="H53" s="1028"/>
      <c r="I53" s="1028"/>
      <c r="J53" s="1028"/>
      <c r="K53" s="1033"/>
      <c r="L53" s="1034"/>
      <c r="M53" s="1038"/>
    </row>
    <row r="54" spans="1:13" s="1015" customFormat="1" ht="11.5" x14ac:dyDescent="0.3">
      <c r="A54" s="1032"/>
      <c r="B54" s="1028"/>
      <c r="C54" s="1028"/>
      <c r="D54" s="1028"/>
      <c r="E54" s="1028"/>
      <c r="F54" s="1029"/>
      <c r="G54" s="1028"/>
      <c r="H54" s="1028"/>
      <c r="I54" s="1028"/>
      <c r="J54" s="1028"/>
      <c r="K54" s="1033"/>
      <c r="L54" s="1034"/>
      <c r="M54" s="1031"/>
    </row>
    <row r="55" spans="1:13" s="1015" customFormat="1" ht="11.5" x14ac:dyDescent="0.3">
      <c r="A55" s="1080" t="s">
        <v>739</v>
      </c>
      <c r="B55" s="1081"/>
      <c r="C55" s="1081"/>
      <c r="D55" s="1081"/>
      <c r="E55" s="1081"/>
      <c r="F55" s="1082"/>
      <c r="G55" s="1081"/>
      <c r="H55" s="1081"/>
      <c r="I55" s="1081"/>
      <c r="J55" s="1081"/>
      <c r="K55" s="1083" t="e">
        <f>SUM(K56:K61)</f>
        <v>#REF!</v>
      </c>
      <c r="L55" s="1084"/>
      <c r="M55" s="1031"/>
    </row>
    <row r="56" spans="1:13" s="1015" customFormat="1" ht="11.5" x14ac:dyDescent="0.3">
      <c r="A56" s="1032" t="s">
        <v>645</v>
      </c>
      <c r="B56" s="1028"/>
      <c r="C56" s="1028" t="e">
        <f>'Pricing Schedule'!#REF!</f>
        <v>#REF!</v>
      </c>
      <c r="D56" s="1028" t="e">
        <f>#REF!</f>
        <v>#REF!</v>
      </c>
      <c r="E56" s="1028"/>
      <c r="F56" s="1029"/>
      <c r="G56" s="1028"/>
      <c r="H56" s="1028"/>
      <c r="I56" s="1028"/>
      <c r="J56" s="1028"/>
      <c r="K56" s="1033" t="e">
        <f t="shared" ref="K56:K61" si="2">SUM(B56:I56)</f>
        <v>#REF!</v>
      </c>
      <c r="L56" s="1034" t="s">
        <v>646</v>
      </c>
      <c r="M56" s="1031"/>
    </row>
    <row r="57" spans="1:13" s="1015" customFormat="1" ht="23" x14ac:dyDescent="0.3">
      <c r="A57" s="1032" t="s">
        <v>579</v>
      </c>
      <c r="B57" s="1028"/>
      <c r="C57" s="1028" t="e">
        <f>'Pricing Schedule'!#REF!</f>
        <v>#REF!</v>
      </c>
      <c r="D57" s="1028" t="e">
        <f>#REF!</f>
        <v>#REF!</v>
      </c>
      <c r="E57" s="1028"/>
      <c r="F57" s="1029"/>
      <c r="G57" s="1028"/>
      <c r="H57" s="1028"/>
      <c r="I57" s="1028"/>
      <c r="J57" s="1028"/>
      <c r="K57" s="1033" t="e">
        <f t="shared" si="2"/>
        <v>#REF!</v>
      </c>
      <c r="L57" s="1034" t="s">
        <v>706</v>
      </c>
      <c r="M57" s="1031"/>
    </row>
    <row r="58" spans="1:13" s="1015" customFormat="1" ht="11.5" x14ac:dyDescent="0.3">
      <c r="A58" s="1032" t="s">
        <v>748</v>
      </c>
      <c r="B58" s="1028"/>
      <c r="C58" s="1028" t="e">
        <f>'Pricing Schedule'!#REF!</f>
        <v>#REF!</v>
      </c>
      <c r="D58" s="1028" t="e">
        <f>#REF!</f>
        <v>#REF!</v>
      </c>
      <c r="E58" s="1028"/>
      <c r="F58" s="1029"/>
      <c r="G58" s="1028"/>
      <c r="H58" s="1028"/>
      <c r="I58" s="1028"/>
      <c r="J58" s="1028"/>
      <c r="K58" s="1033" t="e">
        <f t="shared" si="2"/>
        <v>#REF!</v>
      </c>
      <c r="L58" s="1034" t="s">
        <v>749</v>
      </c>
      <c r="M58" s="1031"/>
    </row>
    <row r="59" spans="1:13" s="1015" customFormat="1" ht="23" x14ac:dyDescent="0.3">
      <c r="A59" s="1032" t="s">
        <v>647</v>
      </c>
      <c r="B59" s="1028"/>
      <c r="C59" s="1028"/>
      <c r="D59" s="1028"/>
      <c r="E59" s="1028">
        <v>2880</v>
      </c>
      <c r="F59" s="1029"/>
      <c r="G59" s="1028"/>
      <c r="H59" s="1028"/>
      <c r="I59" s="1028"/>
      <c r="J59" s="1028"/>
      <c r="K59" s="1033">
        <f t="shared" si="2"/>
        <v>2880</v>
      </c>
      <c r="L59" s="1034" t="s">
        <v>707</v>
      </c>
      <c r="M59" s="1031"/>
    </row>
    <row r="60" spans="1:13" s="1015" customFormat="1" ht="11.5" x14ac:dyDescent="0.3">
      <c r="A60" s="1032" t="s">
        <v>650</v>
      </c>
      <c r="B60" s="1028"/>
      <c r="C60" s="1028" t="e">
        <f>'Pricing Schedule'!#REF!</f>
        <v>#REF!</v>
      </c>
      <c r="D60" s="1028" t="e">
        <f>#REF!</f>
        <v>#REF!</v>
      </c>
      <c r="E60" s="1028"/>
      <c r="F60" s="1029"/>
      <c r="G60" s="1028"/>
      <c r="H60" s="1028"/>
      <c r="I60" s="1028"/>
      <c r="J60" s="1028"/>
      <c r="K60" s="1033" t="e">
        <f t="shared" si="2"/>
        <v>#REF!</v>
      </c>
      <c r="L60" s="1034" t="s">
        <v>695</v>
      </c>
      <c r="M60" s="1031"/>
    </row>
    <row r="61" spans="1:13" s="1015" customFormat="1" ht="23" x14ac:dyDescent="0.3">
      <c r="A61" s="1032" t="s">
        <v>651</v>
      </c>
      <c r="B61" s="1028"/>
      <c r="C61" s="1028" t="e">
        <f>'Pricing Schedule'!#REF!</f>
        <v>#REF!</v>
      </c>
      <c r="D61" s="1028" t="e">
        <f>#REF!</f>
        <v>#REF!</v>
      </c>
      <c r="E61" s="1028"/>
      <c r="F61" s="1029"/>
      <c r="G61" s="1028"/>
      <c r="H61" s="1028"/>
      <c r="I61" s="1028"/>
      <c r="J61" s="1028"/>
      <c r="K61" s="1033" t="e">
        <f t="shared" si="2"/>
        <v>#REF!</v>
      </c>
      <c r="L61" s="1034" t="s">
        <v>710</v>
      </c>
      <c r="M61" s="1031"/>
    </row>
    <row r="62" spans="1:13" s="1015" customFormat="1" ht="11.5" x14ac:dyDescent="0.3">
      <c r="A62" s="1032"/>
      <c r="B62" s="1028"/>
      <c r="C62" s="1028"/>
      <c r="D62" s="1028"/>
      <c r="E62" s="1028"/>
      <c r="F62" s="1029"/>
      <c r="G62" s="1028"/>
      <c r="H62" s="1028"/>
      <c r="I62" s="1028"/>
      <c r="J62" s="1028"/>
      <c r="K62" s="1033"/>
      <c r="L62" s="1034"/>
      <c r="M62" s="1031"/>
    </row>
    <row r="63" spans="1:13" s="1015" customFormat="1" ht="11.5" x14ac:dyDescent="0.3">
      <c r="A63" s="1080" t="s">
        <v>52</v>
      </c>
      <c r="B63" s="1081"/>
      <c r="C63" s="1081"/>
      <c r="D63" s="1081"/>
      <c r="E63" s="1081"/>
      <c r="F63" s="1082"/>
      <c r="G63" s="1081"/>
      <c r="H63" s="1081"/>
      <c r="I63" s="1081"/>
      <c r="J63" s="1081"/>
      <c r="K63" s="1083" t="e">
        <f>SUM(K64:K66)</f>
        <v>#REF!</v>
      </c>
      <c r="L63" s="1084"/>
      <c r="M63" s="1031"/>
    </row>
    <row r="64" spans="1:13" s="1015" customFormat="1" ht="23" x14ac:dyDescent="0.3">
      <c r="A64" s="1032" t="s">
        <v>626</v>
      </c>
      <c r="B64" s="1028"/>
      <c r="C64" s="1028" t="e">
        <f>'Pricing Schedule'!#REF!</f>
        <v>#REF!</v>
      </c>
      <c r="D64" s="1028" t="e">
        <f>#REF!</f>
        <v>#REF!</v>
      </c>
      <c r="E64" s="1028"/>
      <c r="F64" s="1029"/>
      <c r="G64" s="1028"/>
      <c r="H64" s="1028"/>
      <c r="I64" s="1028"/>
      <c r="J64" s="1028"/>
      <c r="K64" s="1033" t="e">
        <f t="shared" ref="K64:K66" si="3">SUM(B64:I64)</f>
        <v>#REF!</v>
      </c>
      <c r="L64" s="1034" t="s">
        <v>708</v>
      </c>
      <c r="M64" s="1031"/>
    </row>
    <row r="65" spans="1:16" s="1015" customFormat="1" ht="11.5" x14ac:dyDescent="0.3">
      <c r="A65" s="1032" t="s">
        <v>625</v>
      </c>
      <c r="B65" s="1029"/>
      <c r="C65" s="1028" t="e">
        <f>'Pricing Schedule'!#REF!</f>
        <v>#REF!</v>
      </c>
      <c r="D65" s="1028" t="e">
        <f>#REF!</f>
        <v>#REF!</v>
      </c>
      <c r="E65" s="1028"/>
      <c r="F65" s="1029"/>
      <c r="G65" s="1028"/>
      <c r="H65" s="1028"/>
      <c r="I65" s="1028"/>
      <c r="J65" s="1028"/>
      <c r="K65" s="1033" t="e">
        <f t="shared" si="3"/>
        <v>#REF!</v>
      </c>
      <c r="L65" s="1034" t="s">
        <v>648</v>
      </c>
      <c r="M65" s="1031"/>
    </row>
    <row r="66" spans="1:16" s="1015" customFormat="1" ht="11.5" x14ac:dyDescent="0.3">
      <c r="A66" s="1032" t="s">
        <v>697</v>
      </c>
      <c r="B66" s="1029"/>
      <c r="C66" s="1028" t="e">
        <f>'Pricing Schedule'!#REF!</f>
        <v>#REF!</v>
      </c>
      <c r="D66" s="1028" t="e">
        <f>#REF!</f>
        <v>#REF!</v>
      </c>
      <c r="E66" s="1028"/>
      <c r="F66" s="1029"/>
      <c r="G66" s="1028"/>
      <c r="H66" s="1028"/>
      <c r="I66" s="1028"/>
      <c r="J66" s="1028"/>
      <c r="K66" s="1033" t="e">
        <f t="shared" si="3"/>
        <v>#REF!</v>
      </c>
      <c r="L66" s="1034" t="s">
        <v>698</v>
      </c>
      <c r="M66" s="1031"/>
    </row>
    <row r="67" spans="1:16" s="1015" customFormat="1" ht="11.5" x14ac:dyDescent="0.3">
      <c r="A67" s="1032"/>
      <c r="B67" s="1028"/>
      <c r="C67" s="1028"/>
      <c r="D67" s="1028"/>
      <c r="E67" s="1028"/>
      <c r="F67" s="1029"/>
      <c r="G67" s="1028"/>
      <c r="H67" s="1028"/>
      <c r="I67" s="1028"/>
      <c r="J67" s="1028"/>
      <c r="K67" s="1033"/>
      <c r="L67" s="1034"/>
      <c r="M67" s="1039"/>
      <c r="N67" s="1040"/>
      <c r="O67" s="1040"/>
      <c r="P67" s="1040"/>
    </row>
    <row r="68" spans="1:16" s="1015" customFormat="1" ht="11.5" x14ac:dyDescent="0.3">
      <c r="A68" s="1080" t="s">
        <v>53</v>
      </c>
      <c r="B68" s="1087"/>
      <c r="C68" s="1087"/>
      <c r="D68" s="1087"/>
      <c r="E68" s="1087"/>
      <c r="F68" s="1088"/>
      <c r="G68" s="1087"/>
      <c r="H68" s="1087"/>
      <c r="I68" s="1087"/>
      <c r="J68" s="1087"/>
      <c r="K68" s="1083">
        <f>SUM(K69:K69)</f>
        <v>0</v>
      </c>
      <c r="L68" s="1089"/>
      <c r="M68" s="1039"/>
      <c r="N68" s="1040"/>
      <c r="O68" s="1040"/>
      <c r="P68" s="1040"/>
    </row>
    <row r="69" spans="1:16" s="1015" customFormat="1" ht="11.5" x14ac:dyDescent="0.3">
      <c r="A69" s="1041" t="s">
        <v>468</v>
      </c>
      <c r="B69" s="1028"/>
      <c r="C69" s="1028" t="e">
        <f>'Pricing Schedule'!#REF!</f>
        <v>#REF!</v>
      </c>
      <c r="D69" s="1028" t="e">
        <f>#REF!</f>
        <v>#REF!</v>
      </c>
      <c r="E69" s="1028"/>
      <c r="F69" s="1028"/>
      <c r="G69" s="1028"/>
      <c r="H69" s="1028"/>
      <c r="I69" s="1028"/>
      <c r="J69" s="1028"/>
      <c r="K69" s="1033"/>
      <c r="L69" s="1034"/>
      <c r="M69" s="1014"/>
    </row>
    <row r="70" spans="1:16" s="1015" customFormat="1" ht="11.5" x14ac:dyDescent="0.3">
      <c r="A70" s="1032"/>
      <c r="B70" s="1028"/>
      <c r="C70" s="1028"/>
      <c r="D70" s="1028"/>
      <c r="E70" s="1028"/>
      <c r="F70" s="1029"/>
      <c r="G70" s="1028"/>
      <c r="H70" s="1028"/>
      <c r="I70" s="1028"/>
      <c r="J70" s="1028"/>
      <c r="K70" s="1033"/>
      <c r="L70" s="1034"/>
      <c r="M70" s="1031"/>
    </row>
    <row r="71" spans="1:16" s="1015" customFormat="1" ht="11.5" x14ac:dyDescent="0.3">
      <c r="A71" s="1080" t="s">
        <v>54</v>
      </c>
      <c r="B71" s="1081"/>
      <c r="C71" s="1081"/>
      <c r="D71" s="1081"/>
      <c r="E71" s="1081"/>
      <c r="F71" s="1082"/>
      <c r="G71" s="1081"/>
      <c r="H71" s="1081"/>
      <c r="I71" s="1081"/>
      <c r="J71" s="1081"/>
      <c r="K71" s="1083" t="e">
        <f>SUM(K72:K74)</f>
        <v>#REF!</v>
      </c>
      <c r="L71" s="1084"/>
      <c r="M71" s="1031"/>
    </row>
    <row r="72" spans="1:16" s="1015" customFormat="1" ht="11.5" x14ac:dyDescent="0.3">
      <c r="A72" s="1041" t="s">
        <v>470</v>
      </c>
      <c r="B72" s="1028"/>
      <c r="C72" s="1028" t="e">
        <f>'Pricing Schedule'!#REF!</f>
        <v>#REF!</v>
      </c>
      <c r="D72" s="1028" t="e">
        <f>#REF!</f>
        <v>#REF!</v>
      </c>
      <c r="E72" s="1028"/>
      <c r="F72" s="1028"/>
      <c r="G72" s="1028"/>
      <c r="H72" s="1028"/>
      <c r="I72" s="1028"/>
      <c r="J72" s="1028"/>
      <c r="K72" s="1033" t="e">
        <f t="shared" ref="K72:K75" si="4">SUM(B72:I72)</f>
        <v>#REF!</v>
      </c>
      <c r="L72" s="1034" t="s">
        <v>740</v>
      </c>
      <c r="M72" s="1042" t="s">
        <v>722</v>
      </c>
      <c r="N72" s="1040"/>
      <c r="O72" s="1040"/>
      <c r="P72" s="1040"/>
    </row>
    <row r="73" spans="1:16" s="1015" customFormat="1" ht="11.5" x14ac:dyDescent="0.3">
      <c r="A73" s="1041" t="s">
        <v>696</v>
      </c>
      <c r="B73" s="1028"/>
      <c r="C73" s="1028" t="e">
        <f>'Pricing Schedule'!#REF!</f>
        <v>#REF!</v>
      </c>
      <c r="D73" s="1028" t="e">
        <f>#REF!</f>
        <v>#REF!</v>
      </c>
      <c r="E73" s="1028"/>
      <c r="F73" s="1028"/>
      <c r="G73" s="1028"/>
      <c r="H73" s="1028"/>
      <c r="I73" s="1028"/>
      <c r="J73" s="1028"/>
      <c r="K73" s="1033" t="e">
        <f t="shared" si="4"/>
        <v>#REF!</v>
      </c>
      <c r="L73" s="1034" t="s">
        <v>648</v>
      </c>
      <c r="M73" s="1014" t="s">
        <v>723</v>
      </c>
    </row>
    <row r="74" spans="1:16" s="1015" customFormat="1" ht="11.5" x14ac:dyDescent="0.3">
      <c r="A74" s="1041" t="s">
        <v>472</v>
      </c>
      <c r="B74" s="1028"/>
      <c r="C74" s="1028" t="e">
        <f>'Pricing Schedule'!#REF!</f>
        <v>#REF!</v>
      </c>
      <c r="D74" s="1028" t="e">
        <f>#REF!</f>
        <v>#REF!</v>
      </c>
      <c r="E74" s="1028"/>
      <c r="F74" s="1028"/>
      <c r="G74" s="1028"/>
      <c r="H74" s="1028"/>
      <c r="I74" s="1028"/>
      <c r="J74" s="1028"/>
      <c r="K74" s="1033" t="e">
        <f t="shared" si="4"/>
        <v>#REF!</v>
      </c>
      <c r="L74" s="1034" t="s">
        <v>652</v>
      </c>
      <c r="M74" s="1014"/>
    </row>
    <row r="75" spans="1:16" s="1015" customFormat="1" ht="11.5" x14ac:dyDescent="0.3">
      <c r="A75" s="1041" t="s">
        <v>750</v>
      </c>
      <c r="B75" s="1028"/>
      <c r="C75" s="1028" t="e">
        <f>'Pricing Schedule'!#REF!</f>
        <v>#REF!</v>
      </c>
      <c r="D75" s="1028" t="e">
        <f>#REF!</f>
        <v>#REF!</v>
      </c>
      <c r="E75" s="1028"/>
      <c r="F75" s="1028"/>
      <c r="G75" s="1028"/>
      <c r="H75" s="1028"/>
      <c r="I75" s="1028"/>
      <c r="J75" s="1028"/>
      <c r="K75" s="1033" t="e">
        <f t="shared" si="4"/>
        <v>#REF!</v>
      </c>
      <c r="L75" s="1034" t="s">
        <v>644</v>
      </c>
      <c r="M75" s="1014"/>
    </row>
    <row r="76" spans="1:16" s="1015" customFormat="1" ht="11.5" x14ac:dyDescent="0.3">
      <c r="A76" s="1032"/>
      <c r="B76" s="1028"/>
      <c r="C76" s="1028"/>
      <c r="D76" s="1028"/>
      <c r="E76" s="1028"/>
      <c r="F76" s="1029"/>
      <c r="G76" s="1028"/>
      <c r="H76" s="1028"/>
      <c r="I76" s="1028"/>
      <c r="J76" s="1028"/>
      <c r="K76" s="1033"/>
      <c r="L76" s="1034"/>
      <c r="M76" s="1031"/>
    </row>
    <row r="77" spans="1:16" s="1015" customFormat="1" ht="11.5" x14ac:dyDescent="0.3">
      <c r="A77" s="1080" t="s">
        <v>55</v>
      </c>
      <c r="B77" s="1081"/>
      <c r="C77" s="1081"/>
      <c r="D77" s="1081"/>
      <c r="E77" s="1081"/>
      <c r="F77" s="1082"/>
      <c r="G77" s="1081"/>
      <c r="H77" s="1081"/>
      <c r="I77" s="1081"/>
      <c r="J77" s="1081"/>
      <c r="K77" s="1083" t="e">
        <f>SUM(K78:K78)</f>
        <v>#REF!</v>
      </c>
      <c r="L77" s="1084"/>
      <c r="M77" s="1031"/>
    </row>
    <row r="78" spans="1:16" s="1015" customFormat="1" ht="11.5" x14ac:dyDescent="0.3">
      <c r="A78" s="1041" t="s">
        <v>653</v>
      </c>
      <c r="B78" s="1028"/>
      <c r="C78" s="1028" t="e">
        <f>'Pricing Schedule'!#REF!</f>
        <v>#REF!</v>
      </c>
      <c r="D78" s="1028" t="e">
        <f>#REF!</f>
        <v>#REF!</v>
      </c>
      <c r="E78" s="1028"/>
      <c r="F78" s="1028"/>
      <c r="G78" s="1028"/>
      <c r="H78" s="1028"/>
      <c r="I78" s="1028"/>
      <c r="J78" s="1028"/>
      <c r="K78" s="1033" t="e">
        <f t="shared" ref="K78" si="5">SUM(B78:I78)</f>
        <v>#REF!</v>
      </c>
      <c r="L78" s="1034" t="s">
        <v>654</v>
      </c>
      <c r="M78" s="1014" t="s">
        <v>724</v>
      </c>
    </row>
    <row r="79" spans="1:16" s="1015" customFormat="1" ht="11.5" x14ac:dyDescent="0.3">
      <c r="A79" s="1041"/>
      <c r="B79" s="1028"/>
      <c r="C79" s="1028"/>
      <c r="D79" s="1028"/>
      <c r="E79" s="1028"/>
      <c r="F79" s="1028"/>
      <c r="G79" s="1028"/>
      <c r="H79" s="1028"/>
      <c r="I79" s="1028"/>
      <c r="J79" s="1028"/>
      <c r="K79" s="1033"/>
      <c r="L79" s="1034"/>
      <c r="M79" s="1031"/>
    </row>
    <row r="80" spans="1:16" s="1015" customFormat="1" ht="11.5" x14ac:dyDescent="0.3">
      <c r="A80" s="1090" t="s">
        <v>725</v>
      </c>
      <c r="B80" s="1081"/>
      <c r="C80" s="1081"/>
      <c r="D80" s="1081"/>
      <c r="E80" s="1081"/>
      <c r="F80" s="1082"/>
      <c r="G80" s="1081"/>
      <c r="H80" s="1081"/>
      <c r="I80" s="1081"/>
      <c r="J80" s="1081"/>
      <c r="K80" s="1083" t="e">
        <f>SUM(K81)</f>
        <v>#REF!</v>
      </c>
      <c r="L80" s="1084"/>
      <c r="M80" s="1031"/>
    </row>
    <row r="81" spans="1:20" s="1015" customFormat="1" ht="11.5" x14ac:dyDescent="0.3">
      <c r="A81" s="1044" t="s">
        <v>655</v>
      </c>
      <c r="B81" s="1028"/>
      <c r="C81" s="1028" t="e">
        <f>'Pricing Schedule'!#REF!</f>
        <v>#REF!</v>
      </c>
      <c r="D81" s="1028" t="e">
        <f>#REF!</f>
        <v>#REF!</v>
      </c>
      <c r="E81" s="1028"/>
      <c r="F81" s="1028"/>
      <c r="G81" s="1028"/>
      <c r="H81" s="1028"/>
      <c r="I81" s="1028"/>
      <c r="J81" s="1028"/>
      <c r="K81" s="1033" t="e">
        <f t="shared" ref="K81:K85" si="6">SUM(B81:I81)</f>
        <v>#REF!</v>
      </c>
      <c r="L81" s="1034"/>
      <c r="M81" s="1014" t="s">
        <v>726</v>
      </c>
    </row>
    <row r="82" spans="1:20" s="1015" customFormat="1" ht="11.5" x14ac:dyDescent="0.3">
      <c r="A82" s="1044" t="s">
        <v>656</v>
      </c>
      <c r="B82" s="1028"/>
      <c r="C82" s="1028" t="e">
        <f>'Pricing Schedule'!#REF!</f>
        <v>#REF!</v>
      </c>
      <c r="D82" s="1028" t="e">
        <f>#REF!</f>
        <v>#REF!</v>
      </c>
      <c r="E82" s="1028"/>
      <c r="F82" s="1028"/>
      <c r="G82" s="1028"/>
      <c r="H82" s="1028"/>
      <c r="I82" s="1028"/>
      <c r="J82" s="1028"/>
      <c r="K82" s="1033" t="e">
        <f t="shared" si="6"/>
        <v>#REF!</v>
      </c>
      <c r="L82" s="1034"/>
      <c r="M82" s="1014"/>
    </row>
    <row r="83" spans="1:20" s="1015" customFormat="1" ht="11.5" x14ac:dyDescent="0.3">
      <c r="A83" s="1044" t="s">
        <v>657</v>
      </c>
      <c r="B83" s="1028"/>
      <c r="C83" s="1028" t="e">
        <f>'Pricing Schedule'!#REF!</f>
        <v>#REF!</v>
      </c>
      <c r="D83" s="1028" t="e">
        <f>#REF!</f>
        <v>#REF!</v>
      </c>
      <c r="E83" s="1028"/>
      <c r="F83" s="1028"/>
      <c r="G83" s="1028"/>
      <c r="H83" s="1028"/>
      <c r="I83" s="1028"/>
      <c r="J83" s="1028"/>
      <c r="K83" s="1033" t="e">
        <f t="shared" si="6"/>
        <v>#REF!</v>
      </c>
      <c r="L83" s="1034"/>
      <c r="M83" s="1014"/>
    </row>
    <row r="84" spans="1:20" s="1015" customFormat="1" ht="11.5" x14ac:dyDescent="0.3">
      <c r="A84" s="1044" t="s">
        <v>694</v>
      </c>
      <c r="B84" s="1028"/>
      <c r="C84" s="1028" t="e">
        <f>'Pricing Schedule'!#REF!</f>
        <v>#REF!</v>
      </c>
      <c r="D84" s="1028" t="e">
        <f>#REF!</f>
        <v>#REF!</v>
      </c>
      <c r="E84" s="1028"/>
      <c r="F84" s="1028"/>
      <c r="G84" s="1028"/>
      <c r="H84" s="1028"/>
      <c r="I84" s="1028"/>
      <c r="J84" s="1028"/>
      <c r="K84" s="1033" t="e">
        <f t="shared" si="6"/>
        <v>#REF!</v>
      </c>
      <c r="L84" s="1034"/>
      <c r="M84" s="1014"/>
    </row>
    <row r="85" spans="1:20" s="1015" customFormat="1" ht="11.5" x14ac:dyDescent="0.3">
      <c r="A85" s="1044" t="s">
        <v>741</v>
      </c>
      <c r="B85" s="1028"/>
      <c r="C85" s="1028">
        <f>'Pricing Schedule'!F29</f>
        <v>0</v>
      </c>
      <c r="D85" s="1028" t="e">
        <f>#REF!</f>
        <v>#REF!</v>
      </c>
      <c r="E85" s="1028"/>
      <c r="F85" s="1028"/>
      <c r="G85" s="1028"/>
      <c r="H85" s="1028"/>
      <c r="I85" s="1028"/>
      <c r="J85" s="1028"/>
      <c r="K85" s="1033" t="e">
        <f t="shared" si="6"/>
        <v>#REF!</v>
      </c>
      <c r="L85" s="1034"/>
      <c r="M85" s="1014"/>
    </row>
    <row r="86" spans="1:20" s="1015" customFormat="1" ht="11.5" x14ac:dyDescent="0.3">
      <c r="A86" s="1041"/>
      <c r="B86" s="1028"/>
      <c r="C86" s="1028"/>
      <c r="D86" s="1028"/>
      <c r="E86" s="1028"/>
      <c r="F86" s="1028"/>
      <c r="G86" s="1028"/>
      <c r="H86" s="1028"/>
      <c r="I86" s="1028"/>
      <c r="J86" s="1028"/>
      <c r="K86" s="1033"/>
      <c r="L86" s="1034"/>
      <c r="M86" s="1014"/>
    </row>
    <row r="87" spans="1:20" s="1015" customFormat="1" ht="11.5" x14ac:dyDescent="0.3">
      <c r="A87" s="1080" t="s">
        <v>239</v>
      </c>
      <c r="B87" s="1082"/>
      <c r="C87" s="1082"/>
      <c r="D87" s="1082"/>
      <c r="E87" s="1082"/>
      <c r="F87" s="1081"/>
      <c r="G87" s="1081"/>
      <c r="H87" s="1081"/>
      <c r="I87" s="1081"/>
      <c r="J87" s="1081"/>
      <c r="K87" s="1083">
        <f>K88</f>
        <v>0</v>
      </c>
      <c r="L87" s="1084"/>
      <c r="M87" s="1042"/>
      <c r="N87" s="1040"/>
      <c r="O87" s="1040"/>
      <c r="P87" s="1040"/>
      <c r="Q87" s="1046"/>
      <c r="R87" s="1040"/>
      <c r="S87" s="1040"/>
      <c r="T87" s="1040"/>
    </row>
    <row r="88" spans="1:20" s="1015" customFormat="1" ht="11.5" x14ac:dyDescent="0.3">
      <c r="A88" s="1093" t="s">
        <v>662</v>
      </c>
      <c r="B88" s="1047"/>
      <c r="C88" s="1047"/>
      <c r="D88" s="1047"/>
      <c r="E88" s="1047"/>
      <c r="F88" s="1047"/>
      <c r="G88" s="1047"/>
      <c r="H88" s="1047"/>
      <c r="I88" s="1047"/>
      <c r="J88" s="1028"/>
      <c r="K88" s="1033"/>
      <c r="L88" s="1034"/>
      <c r="M88" s="1042"/>
      <c r="N88" s="1046"/>
      <c r="O88" s="1040"/>
      <c r="P88" s="1040"/>
      <c r="Q88" s="1040"/>
      <c r="R88" s="1040"/>
      <c r="S88" s="1040"/>
      <c r="T88" s="1040"/>
    </row>
    <row r="89" spans="1:20" s="1015" customFormat="1" ht="23" x14ac:dyDescent="0.3">
      <c r="A89" s="1092" t="s">
        <v>663</v>
      </c>
      <c r="B89" s="1028"/>
      <c r="C89" s="1028" t="e">
        <f>'Pricing Schedule'!#REF!</f>
        <v>#REF!</v>
      </c>
      <c r="D89" s="1028" t="e">
        <f>#REF!</f>
        <v>#REF!</v>
      </c>
      <c r="E89" s="1028"/>
      <c r="F89" s="1029"/>
      <c r="G89" s="1028"/>
      <c r="H89" s="1028"/>
      <c r="I89" s="1028"/>
      <c r="J89" s="1028"/>
      <c r="K89" s="1033" t="e">
        <f t="shared" ref="K89:K90" si="7">SUM(B89:I89)</f>
        <v>#REF!</v>
      </c>
      <c r="L89" s="1034" t="s">
        <v>711</v>
      </c>
      <c r="M89" s="1039"/>
      <c r="N89" s="1040"/>
      <c r="O89" s="1040"/>
      <c r="P89" s="1040"/>
      <c r="Q89" s="1040"/>
      <c r="R89" s="1040"/>
      <c r="S89" s="1040"/>
      <c r="T89" s="1040"/>
    </row>
    <row r="90" spans="1:20" s="1015" customFormat="1" ht="11.5" x14ac:dyDescent="0.3">
      <c r="A90" s="1050" t="s">
        <v>664</v>
      </c>
      <c r="B90" s="1028"/>
      <c r="C90" s="1028" t="e">
        <f>'Pricing Schedule'!#REF!</f>
        <v>#REF!</v>
      </c>
      <c r="D90" s="1028" t="e">
        <f>#REF!</f>
        <v>#REF!</v>
      </c>
      <c r="E90" s="1028"/>
      <c r="F90" s="1029"/>
      <c r="G90" s="1028"/>
      <c r="H90" s="1028"/>
      <c r="I90" s="1028"/>
      <c r="J90" s="1028"/>
      <c r="K90" s="1033" t="e">
        <f t="shared" si="7"/>
        <v>#REF!</v>
      </c>
      <c r="L90" s="1034" t="s">
        <v>711</v>
      </c>
      <c r="M90" s="1039"/>
      <c r="N90" s="1040"/>
      <c r="O90" s="1040"/>
      <c r="P90" s="1040"/>
      <c r="Q90" s="1040"/>
      <c r="R90" s="1040"/>
      <c r="S90" s="1040"/>
      <c r="T90" s="1040"/>
    </row>
    <row r="91" spans="1:20" s="1015" customFormat="1" ht="11.5" x14ac:dyDescent="0.3">
      <c r="A91" s="1043"/>
      <c r="B91" s="1028"/>
      <c r="C91" s="1028"/>
      <c r="D91" s="1028"/>
      <c r="E91" s="1028"/>
      <c r="F91" s="1029"/>
      <c r="G91" s="1028"/>
      <c r="H91" s="1028"/>
      <c r="I91" s="1028"/>
      <c r="J91" s="1028"/>
      <c r="K91" s="1033"/>
      <c r="L91" s="1034"/>
      <c r="M91" s="1039"/>
      <c r="N91" s="1040"/>
      <c r="O91" s="1040"/>
      <c r="P91" s="1040"/>
      <c r="Q91" s="1040"/>
      <c r="R91" s="1040"/>
      <c r="S91" s="1040"/>
      <c r="T91" s="1040"/>
    </row>
    <row r="92" spans="1:20" s="1015" customFormat="1" ht="11.5" x14ac:dyDescent="0.3">
      <c r="A92" s="1094" t="s">
        <v>665</v>
      </c>
      <c r="B92" s="1028"/>
      <c r="C92" s="1028"/>
      <c r="D92" s="1028"/>
      <c r="E92" s="1028"/>
      <c r="F92" s="1028"/>
      <c r="G92" s="1028"/>
      <c r="H92" s="1028"/>
      <c r="I92" s="1028"/>
      <c r="J92" s="1028"/>
      <c r="K92" s="1033"/>
      <c r="L92" s="1034" t="s">
        <v>666</v>
      </c>
      <c r="M92" s="1039"/>
      <c r="N92" s="1040"/>
      <c r="O92" s="1040"/>
      <c r="P92" s="1040"/>
      <c r="Q92" s="1040"/>
      <c r="R92" s="1040"/>
      <c r="S92" s="1040"/>
      <c r="T92" s="1040"/>
    </row>
    <row r="93" spans="1:20" s="1015" customFormat="1" ht="11.5" x14ac:dyDescent="0.3">
      <c r="A93" s="1019" t="s">
        <v>667</v>
      </c>
      <c r="B93" s="1028"/>
      <c r="C93" s="1028"/>
      <c r="D93" s="1028"/>
      <c r="E93" s="1028"/>
      <c r="F93" s="1029" t="e">
        <f>'Pricing Schedule'!#REF!</f>
        <v>#REF!</v>
      </c>
      <c r="G93" s="1028"/>
      <c r="H93" s="1028"/>
      <c r="I93" s="1028"/>
      <c r="J93" s="1028"/>
      <c r="K93" s="1033" t="e">
        <f t="shared" ref="K93:K96" si="8">SUM(B93:I93)</f>
        <v>#REF!</v>
      </c>
      <c r="L93" s="1034" t="s">
        <v>668</v>
      </c>
      <c r="M93" s="1039"/>
      <c r="N93" s="1040"/>
      <c r="O93" s="1040"/>
      <c r="P93" s="1040"/>
      <c r="Q93" s="1040"/>
      <c r="R93" s="1040"/>
      <c r="S93" s="1040"/>
      <c r="T93" s="1040"/>
    </row>
    <row r="94" spans="1:20" s="1015" customFormat="1" ht="11.5" x14ac:dyDescent="0.3">
      <c r="A94" s="1019" t="s">
        <v>669</v>
      </c>
      <c r="B94" s="1028"/>
      <c r="C94" s="1028"/>
      <c r="D94" s="1028"/>
      <c r="E94" s="1028"/>
      <c r="F94" s="1029" t="e">
        <f>'Pricing Schedule'!#REF!</f>
        <v>#REF!</v>
      </c>
      <c r="G94" s="1028"/>
      <c r="H94" s="1028"/>
      <c r="I94" s="1028"/>
      <c r="J94" s="1028"/>
      <c r="K94" s="1033" t="e">
        <f t="shared" si="8"/>
        <v>#REF!</v>
      </c>
      <c r="L94" s="1034" t="s">
        <v>670</v>
      </c>
      <c r="M94" s="1039"/>
      <c r="N94" s="1040"/>
      <c r="O94" s="1040"/>
      <c r="P94" s="1040"/>
      <c r="Q94" s="1040"/>
      <c r="R94" s="1040"/>
      <c r="S94" s="1040"/>
      <c r="T94" s="1040"/>
    </row>
    <row r="95" spans="1:20" s="1015" customFormat="1" ht="11.5" x14ac:dyDescent="0.3">
      <c r="A95" s="1019" t="s">
        <v>671</v>
      </c>
      <c r="B95" s="1028"/>
      <c r="C95" s="1028"/>
      <c r="D95" s="1028"/>
      <c r="E95" s="1028"/>
      <c r="F95" s="1029" t="e">
        <f>'Pricing Schedule'!#REF!</f>
        <v>#REF!</v>
      </c>
      <c r="G95" s="1028"/>
      <c r="H95" s="1028"/>
      <c r="I95" s="1028"/>
      <c r="J95" s="1028"/>
      <c r="K95" s="1033" t="e">
        <f t="shared" si="8"/>
        <v>#REF!</v>
      </c>
      <c r="L95" s="1034" t="s">
        <v>672</v>
      </c>
      <c r="M95" s="1039"/>
      <c r="N95" s="1040"/>
      <c r="O95" s="1040"/>
      <c r="P95" s="1040"/>
      <c r="Q95" s="1040"/>
      <c r="R95" s="1040"/>
      <c r="S95" s="1040"/>
      <c r="T95" s="1040"/>
    </row>
    <row r="96" spans="1:20" s="1015" customFormat="1" ht="11.5" x14ac:dyDescent="0.3">
      <c r="A96" s="1019" t="s">
        <v>673</v>
      </c>
      <c r="B96" s="1028"/>
      <c r="C96" s="1028"/>
      <c r="D96" s="1028"/>
      <c r="E96" s="1028"/>
      <c r="F96" s="1029" t="e">
        <f>'Pricing Schedule'!#REF!</f>
        <v>#REF!</v>
      </c>
      <c r="G96" s="1028"/>
      <c r="H96" s="1028"/>
      <c r="I96" s="1028"/>
      <c r="J96" s="1028"/>
      <c r="K96" s="1033" t="e">
        <f t="shared" si="8"/>
        <v>#REF!</v>
      </c>
      <c r="L96" s="1034"/>
      <c r="M96" s="1039"/>
      <c r="N96" s="1040"/>
      <c r="O96" s="1040"/>
      <c r="P96" s="1040"/>
      <c r="Q96" s="1040"/>
      <c r="R96" s="1040"/>
      <c r="S96" s="1040"/>
      <c r="T96" s="1040"/>
    </row>
    <row r="97" spans="1:20" s="1015" customFormat="1" ht="11.5" x14ac:dyDescent="0.3">
      <c r="A97" s="1019"/>
      <c r="B97" s="1028"/>
      <c r="C97" s="1028"/>
      <c r="D97" s="1028"/>
      <c r="E97" s="1028"/>
      <c r="F97" s="1029"/>
      <c r="G97" s="1028"/>
      <c r="H97" s="1028"/>
      <c r="I97" s="1028"/>
      <c r="J97" s="1028"/>
      <c r="K97" s="1033"/>
      <c r="L97" s="1034"/>
      <c r="M97" s="1039"/>
      <c r="N97" s="1040"/>
      <c r="O97" s="1040"/>
      <c r="P97" s="1040"/>
      <c r="Q97" s="1040"/>
      <c r="R97" s="1040"/>
      <c r="S97" s="1040"/>
      <c r="T97" s="1040"/>
    </row>
    <row r="98" spans="1:20" s="1015" customFormat="1" ht="11.5" x14ac:dyDescent="0.3">
      <c r="A98" s="1094" t="s">
        <v>674</v>
      </c>
      <c r="B98" s="1028"/>
      <c r="C98" s="1028"/>
      <c r="D98" s="1028"/>
      <c r="E98" s="1028"/>
      <c r="F98" s="1029"/>
      <c r="G98" s="1028"/>
      <c r="H98" s="1028"/>
      <c r="I98" s="1028"/>
      <c r="J98" s="1028"/>
      <c r="K98" s="1033"/>
      <c r="L98" s="1034" t="s">
        <v>666</v>
      </c>
      <c r="M98" s="1039"/>
      <c r="N98" s="1040"/>
      <c r="O98" s="1040"/>
      <c r="P98" s="1040"/>
      <c r="Q98" s="1040"/>
      <c r="R98" s="1040"/>
      <c r="S98" s="1040"/>
      <c r="T98" s="1040"/>
    </row>
    <row r="99" spans="1:20" s="1015" customFormat="1" ht="11.5" x14ac:dyDescent="0.3">
      <c r="A99" s="1019" t="s">
        <v>675</v>
      </c>
      <c r="B99" s="1028"/>
      <c r="C99" s="1028" t="e">
        <f>'Pricing Schedule'!#REF!</f>
        <v>#REF!</v>
      </c>
      <c r="D99" s="1028" t="e">
        <f>#REF!</f>
        <v>#REF!</v>
      </c>
      <c r="E99" s="1028"/>
      <c r="F99" s="1029"/>
      <c r="G99" s="1028"/>
      <c r="H99" s="1028"/>
      <c r="I99" s="1028"/>
      <c r="J99" s="1028"/>
      <c r="K99" s="1033" t="e">
        <f t="shared" ref="K99:K104" si="9">SUM(B99:I99)</f>
        <v>#REF!</v>
      </c>
      <c r="L99" s="1034" t="s">
        <v>676</v>
      </c>
      <c r="M99" s="1039"/>
      <c r="N99" s="1040"/>
      <c r="O99" s="1040"/>
      <c r="P99" s="1040"/>
      <c r="Q99" s="1040"/>
      <c r="R99" s="1040"/>
      <c r="S99" s="1040"/>
      <c r="T99" s="1040"/>
    </row>
    <row r="100" spans="1:20" s="1015" customFormat="1" ht="13" x14ac:dyDescent="0.3">
      <c r="A100" s="1019" t="s">
        <v>677</v>
      </c>
      <c r="B100" s="1028"/>
      <c r="C100" s="1028" t="e">
        <f>'Pricing Schedule'!#REF!</f>
        <v>#REF!</v>
      </c>
      <c r="D100" s="1028" t="e">
        <f>#REF!</f>
        <v>#REF!</v>
      </c>
      <c r="E100" s="1028"/>
      <c r="F100" s="1028"/>
      <c r="G100" s="1028"/>
      <c r="H100" s="1028"/>
      <c r="I100" s="1028"/>
      <c r="J100" s="1028"/>
      <c r="K100" s="1033" t="e">
        <f t="shared" si="9"/>
        <v>#REF!</v>
      </c>
      <c r="L100" s="1034" t="s">
        <v>678</v>
      </c>
      <c r="M100" s="1039"/>
      <c r="N100" s="1040"/>
      <c r="O100" s="1048"/>
      <c r="P100" s="1040"/>
      <c r="Q100" s="1040"/>
      <c r="R100" s="1040"/>
      <c r="S100" s="1040"/>
      <c r="T100" s="1040"/>
    </row>
    <row r="101" spans="1:20" s="1015" customFormat="1" ht="13" x14ac:dyDescent="0.3">
      <c r="A101" s="1019" t="s">
        <v>679</v>
      </c>
      <c r="B101" s="1028"/>
      <c r="C101" s="1028" t="e">
        <f>'Pricing Schedule'!#REF!</f>
        <v>#REF!</v>
      </c>
      <c r="D101" s="1028" t="e">
        <f>#REF!</f>
        <v>#REF!</v>
      </c>
      <c r="E101" s="1028"/>
      <c r="F101" s="1029"/>
      <c r="G101" s="1028"/>
      <c r="H101" s="1028"/>
      <c r="I101" s="1028"/>
      <c r="J101" s="1028"/>
      <c r="K101" s="1033" t="e">
        <f t="shared" si="9"/>
        <v>#REF!</v>
      </c>
      <c r="L101" s="1034" t="s">
        <v>668</v>
      </c>
      <c r="M101" s="1039"/>
      <c r="N101" s="1040"/>
      <c r="O101" s="1048"/>
      <c r="P101" s="1040"/>
      <c r="Q101" s="1040"/>
      <c r="R101" s="1040"/>
      <c r="S101" s="1040"/>
      <c r="T101" s="1040"/>
    </row>
    <row r="102" spans="1:20" s="1015" customFormat="1" ht="12.5" x14ac:dyDescent="0.3">
      <c r="A102" s="1019" t="s">
        <v>680</v>
      </c>
      <c r="B102" s="1028"/>
      <c r="C102" s="1028"/>
      <c r="D102" s="1028"/>
      <c r="E102" s="1028" t="e">
        <f>'Pricing Schedule'!#REF!</f>
        <v>#REF!</v>
      </c>
      <c r="F102" s="1028"/>
      <c r="G102" s="1028"/>
      <c r="H102" s="1028"/>
      <c r="I102" s="1028"/>
      <c r="J102" s="1028"/>
      <c r="K102" s="1033" t="e">
        <f t="shared" si="9"/>
        <v>#REF!</v>
      </c>
      <c r="L102" s="1034" t="s">
        <v>681</v>
      </c>
      <c r="M102" s="1039"/>
      <c r="N102" s="1040"/>
      <c r="O102" s="1010"/>
      <c r="P102" s="1040"/>
      <c r="Q102" s="1040"/>
      <c r="R102" s="1040"/>
      <c r="S102" s="1040"/>
      <c r="T102" s="1040"/>
    </row>
    <row r="103" spans="1:20" s="1015" customFormat="1" ht="12.5" x14ac:dyDescent="0.3">
      <c r="A103" s="1019" t="s">
        <v>704</v>
      </c>
      <c r="B103" s="1028"/>
      <c r="C103" s="1028" t="e">
        <f>'Pricing Schedule'!#REF!</f>
        <v>#REF!</v>
      </c>
      <c r="D103" s="1028" t="e">
        <f>#REF!</f>
        <v>#REF!</v>
      </c>
      <c r="E103" s="1028"/>
      <c r="F103" s="1029"/>
      <c r="G103" s="1028"/>
      <c r="H103" s="1028"/>
      <c r="I103" s="1028"/>
      <c r="J103" s="1028"/>
      <c r="K103" s="1033" t="e">
        <f t="shared" si="9"/>
        <v>#REF!</v>
      </c>
      <c r="L103" s="1034" t="s">
        <v>705</v>
      </c>
      <c r="M103" s="1039"/>
      <c r="N103" s="1040"/>
      <c r="O103" s="1010"/>
      <c r="P103" s="1040"/>
      <c r="Q103" s="1040"/>
      <c r="R103" s="1040"/>
      <c r="S103" s="1040"/>
      <c r="T103" s="1040"/>
    </row>
    <row r="104" spans="1:20" s="1015" customFormat="1" ht="12.5" x14ac:dyDescent="0.3">
      <c r="A104" s="1019" t="s">
        <v>747</v>
      </c>
      <c r="B104" s="1028"/>
      <c r="C104" s="1028" t="e">
        <f>'Pricing Schedule'!#REF!</f>
        <v>#REF!</v>
      </c>
      <c r="D104" s="1028" t="e">
        <f>#REF!</f>
        <v>#REF!</v>
      </c>
      <c r="E104" s="1028"/>
      <c r="F104" s="1029"/>
      <c r="G104" s="1028"/>
      <c r="H104" s="1028"/>
      <c r="I104" s="1028"/>
      <c r="J104" s="1028"/>
      <c r="K104" s="1033" t="e">
        <f t="shared" si="9"/>
        <v>#REF!</v>
      </c>
      <c r="L104" s="1034" t="s">
        <v>644</v>
      </c>
      <c r="M104" s="1039"/>
      <c r="N104" s="1040"/>
      <c r="O104" s="1010"/>
      <c r="P104" s="1040"/>
      <c r="Q104" s="1040"/>
      <c r="R104" s="1040"/>
      <c r="S104" s="1040"/>
      <c r="T104" s="1040"/>
    </row>
    <row r="105" spans="1:20" s="1015" customFormat="1" ht="12.5" x14ac:dyDescent="0.3">
      <c r="A105" s="1019"/>
      <c r="B105" s="1028"/>
      <c r="C105" s="1028"/>
      <c r="D105" s="1028"/>
      <c r="E105" s="1028"/>
      <c r="F105" s="1028"/>
      <c r="G105" s="1028"/>
      <c r="H105" s="1028"/>
      <c r="I105" s="1028"/>
      <c r="J105" s="1028"/>
      <c r="K105" s="1033"/>
      <c r="L105" s="1034"/>
      <c r="M105" s="1039"/>
      <c r="N105" s="1040"/>
      <c r="O105" s="1010"/>
      <c r="P105" s="1040"/>
      <c r="Q105" s="1040"/>
      <c r="R105" s="1040"/>
      <c r="S105" s="1040"/>
      <c r="T105" s="1040"/>
    </row>
    <row r="106" spans="1:20" s="1015" customFormat="1" ht="12.5" x14ac:dyDescent="0.3">
      <c r="A106" s="1094" t="s">
        <v>682</v>
      </c>
      <c r="B106" s="1028"/>
      <c r="C106" s="1028"/>
      <c r="D106" s="1028"/>
      <c r="E106" s="1028"/>
      <c r="F106" s="1029"/>
      <c r="G106" s="1028"/>
      <c r="H106" s="1028"/>
      <c r="I106" s="1028"/>
      <c r="J106" s="1028"/>
      <c r="K106" s="1033"/>
      <c r="L106" s="1034" t="s">
        <v>666</v>
      </c>
      <c r="M106" s="1039"/>
      <c r="N106" s="1040"/>
      <c r="O106" s="1010"/>
      <c r="P106" s="1040"/>
      <c r="Q106" s="1040"/>
      <c r="R106" s="1040"/>
      <c r="S106" s="1040"/>
      <c r="T106" s="1040"/>
    </row>
    <row r="107" spans="1:20" s="1015" customFormat="1" ht="13" x14ac:dyDescent="0.3">
      <c r="A107" s="1019" t="s">
        <v>689</v>
      </c>
      <c r="B107" s="1028"/>
      <c r="C107" s="1028" t="e">
        <f>'Pricing Schedule'!#REF!</f>
        <v>#REF!</v>
      </c>
      <c r="D107" s="1028"/>
      <c r="E107" s="1028"/>
      <c r="F107" s="1028"/>
      <c r="G107" s="1028"/>
      <c r="H107" s="1028"/>
      <c r="I107" s="1028"/>
      <c r="J107" s="1028"/>
      <c r="K107" s="1033" t="e">
        <f t="shared" ref="K107:K109" si="10">SUM(B107:I107)</f>
        <v>#REF!</v>
      </c>
      <c r="L107" s="1034" t="s">
        <v>658</v>
      </c>
      <c r="M107" s="1039"/>
      <c r="N107" s="1040"/>
      <c r="O107" s="1049"/>
      <c r="P107" s="1040"/>
      <c r="Q107" s="1040"/>
      <c r="R107" s="1040"/>
      <c r="S107" s="1040"/>
      <c r="T107" s="1040"/>
    </row>
    <row r="108" spans="1:20" s="1015" customFormat="1" ht="13" x14ac:dyDescent="0.3">
      <c r="A108" s="1019" t="s">
        <v>690</v>
      </c>
      <c r="B108" s="1028"/>
      <c r="C108" s="1028" t="e">
        <f>'Pricing Schedule'!#REF!</f>
        <v>#REF!</v>
      </c>
      <c r="D108" s="1028"/>
      <c r="E108" s="1028"/>
      <c r="F108" s="1029"/>
      <c r="G108" s="1028"/>
      <c r="H108" s="1028"/>
      <c r="I108" s="1028"/>
      <c r="J108" s="1028"/>
      <c r="K108" s="1033" t="e">
        <f t="shared" si="10"/>
        <v>#REF!</v>
      </c>
      <c r="L108" s="1034"/>
      <c r="M108" s="1039"/>
      <c r="N108" s="1040"/>
      <c r="O108" s="1049"/>
      <c r="P108" s="1040"/>
      <c r="Q108" s="1040"/>
      <c r="R108" s="1040"/>
      <c r="S108" s="1040"/>
      <c r="T108" s="1040"/>
    </row>
    <row r="109" spans="1:20" s="1015" customFormat="1" ht="13" x14ac:dyDescent="0.3">
      <c r="A109" s="1019" t="s">
        <v>683</v>
      </c>
      <c r="B109" s="1028"/>
      <c r="C109" s="1028" t="e">
        <f>'Pricing Schedule'!#REF!</f>
        <v>#REF!</v>
      </c>
      <c r="D109" s="1028" t="e">
        <f>#REF!</f>
        <v>#REF!</v>
      </c>
      <c r="E109" s="1028"/>
      <c r="F109" s="1029"/>
      <c r="G109" s="1028"/>
      <c r="H109" s="1028"/>
      <c r="I109" s="1028"/>
      <c r="J109" s="1028"/>
      <c r="K109" s="1033" t="e">
        <f t="shared" si="10"/>
        <v>#REF!</v>
      </c>
      <c r="L109" s="1034"/>
      <c r="M109" s="1039"/>
      <c r="N109" s="1040"/>
      <c r="O109" s="1049"/>
      <c r="P109" s="1040"/>
      <c r="Q109" s="1040"/>
      <c r="R109" s="1040"/>
      <c r="S109" s="1040"/>
      <c r="T109" s="1040"/>
    </row>
    <row r="110" spans="1:20" s="1015" customFormat="1" ht="13" x14ac:dyDescent="0.3">
      <c r="A110" s="1019"/>
      <c r="B110" s="1028"/>
      <c r="C110" s="1028"/>
      <c r="D110" s="1028"/>
      <c r="E110" s="1028"/>
      <c r="F110" s="1029"/>
      <c r="G110" s="1028"/>
      <c r="H110" s="1028"/>
      <c r="I110" s="1028"/>
      <c r="J110" s="1028"/>
      <c r="K110" s="1033"/>
      <c r="L110" s="1034"/>
      <c r="M110" s="1039"/>
      <c r="N110" s="1040"/>
      <c r="O110" s="1049"/>
      <c r="P110" s="1040"/>
      <c r="Q110" s="1040"/>
      <c r="R110" s="1040"/>
      <c r="S110" s="1040"/>
      <c r="T110" s="1040"/>
    </row>
    <row r="111" spans="1:20" s="1015" customFormat="1" ht="13" x14ac:dyDescent="0.3">
      <c r="A111" s="1094" t="s">
        <v>684</v>
      </c>
      <c r="B111" s="1028"/>
      <c r="C111" s="1028"/>
      <c r="D111" s="1028"/>
      <c r="E111" s="1028"/>
      <c r="F111" s="1029"/>
      <c r="G111" s="1028"/>
      <c r="H111" s="1028"/>
      <c r="I111" s="1028"/>
      <c r="J111" s="1028"/>
      <c r="K111" s="1033"/>
      <c r="L111" s="1034"/>
      <c r="M111" s="1039"/>
      <c r="N111" s="1040"/>
      <c r="O111" s="1049"/>
      <c r="P111" s="1040"/>
      <c r="Q111" s="1040"/>
      <c r="R111" s="1040"/>
      <c r="S111" s="1040"/>
      <c r="T111" s="1040"/>
    </row>
    <row r="112" spans="1:20" s="1015" customFormat="1" ht="13" x14ac:dyDescent="0.3">
      <c r="A112" s="1019" t="s">
        <v>685</v>
      </c>
      <c r="B112" s="1028"/>
      <c r="C112" s="1028"/>
      <c r="D112" s="1028"/>
      <c r="E112" s="1028"/>
      <c r="F112" s="1029"/>
      <c r="G112" s="1028" t="e">
        <f>#REF!</f>
        <v>#REF!</v>
      </c>
      <c r="H112" s="1028"/>
      <c r="I112" s="1028"/>
      <c r="J112" s="1028"/>
      <c r="K112" s="1033" t="e">
        <f t="shared" ref="K112:K114" si="11">SUM(B112:I112)</f>
        <v>#REF!</v>
      </c>
      <c r="L112" s="1034" t="s">
        <v>686</v>
      </c>
      <c r="M112" s="1039"/>
      <c r="N112" s="1040"/>
      <c r="O112" s="1049"/>
      <c r="P112" s="1040"/>
      <c r="Q112" s="1040"/>
      <c r="R112" s="1040"/>
      <c r="S112" s="1040"/>
      <c r="T112" s="1040"/>
    </row>
    <row r="113" spans="1:20" s="1015" customFormat="1" ht="11.25" customHeight="1" x14ac:dyDescent="0.3">
      <c r="A113" s="1019" t="s">
        <v>687</v>
      </c>
      <c r="B113" s="1028"/>
      <c r="C113" s="1028"/>
      <c r="D113" s="1028"/>
      <c r="E113" s="1028"/>
      <c r="F113" s="1028"/>
      <c r="G113" s="1028" t="e">
        <f>#REF!</f>
        <v>#REF!</v>
      </c>
      <c r="H113" s="1028"/>
      <c r="I113" s="1028"/>
      <c r="J113" s="1028"/>
      <c r="K113" s="1033" t="e">
        <f t="shared" si="11"/>
        <v>#REF!</v>
      </c>
      <c r="L113" s="1034" t="s">
        <v>686</v>
      </c>
      <c r="M113" s="1039"/>
      <c r="N113" s="1040"/>
      <c r="O113" s="1010"/>
      <c r="P113" s="1040"/>
      <c r="Q113" s="1040"/>
      <c r="R113" s="1040"/>
      <c r="S113" s="1040"/>
      <c r="T113" s="1040"/>
    </row>
    <row r="114" spans="1:20" s="1015" customFormat="1" ht="11.25" customHeight="1" x14ac:dyDescent="0.3">
      <c r="A114" s="1041" t="s">
        <v>688</v>
      </c>
      <c r="B114" s="1028"/>
      <c r="C114" s="1028"/>
      <c r="D114" s="1028"/>
      <c r="E114" s="1028"/>
      <c r="F114" s="1028"/>
      <c r="G114" s="1028" t="e">
        <f>#REF!</f>
        <v>#REF!</v>
      </c>
      <c r="H114" s="1028"/>
      <c r="I114" s="1028"/>
      <c r="J114" s="1028"/>
      <c r="K114" s="1033" t="e">
        <f t="shared" si="11"/>
        <v>#REF!</v>
      </c>
      <c r="L114" s="1034"/>
      <c r="M114" s="1014"/>
    </row>
    <row r="115" spans="1:20" s="1015" customFormat="1" ht="11.5" x14ac:dyDescent="0.3">
      <c r="A115" s="1027"/>
      <c r="B115" s="1028"/>
      <c r="C115" s="1028"/>
      <c r="D115" s="1028"/>
      <c r="E115" s="1028"/>
      <c r="F115" s="1029"/>
      <c r="G115" s="1028"/>
      <c r="H115" s="1028"/>
      <c r="I115" s="1028"/>
      <c r="J115" s="1028"/>
      <c r="K115" s="1033"/>
      <c r="L115" s="1026"/>
      <c r="M115" s="1039"/>
      <c r="N115" s="1040"/>
      <c r="O115" s="1040"/>
      <c r="P115" s="1096" t="s">
        <v>751</v>
      </c>
      <c r="Q115" s="1040"/>
      <c r="R115" s="1040"/>
      <c r="S115" s="1040"/>
      <c r="T115" s="1040"/>
    </row>
    <row r="116" spans="1:20" s="1015" customFormat="1" x14ac:dyDescent="0.3">
      <c r="A116" s="1090" t="s">
        <v>727</v>
      </c>
      <c r="B116" s="1083" t="e">
        <f t="shared" ref="B116:I116" si="12">SUM(B14:B115)</f>
        <v>#REF!</v>
      </c>
      <c r="C116" s="1083" t="e">
        <f t="shared" si="12"/>
        <v>#REF!</v>
      </c>
      <c r="D116" s="1083" t="e">
        <f t="shared" si="12"/>
        <v>#REF!</v>
      </c>
      <c r="E116" s="1083" t="e">
        <f t="shared" si="12"/>
        <v>#REF!</v>
      </c>
      <c r="F116" s="1083" t="e">
        <f t="shared" si="12"/>
        <v>#REF!</v>
      </c>
      <c r="G116" s="1083" t="e">
        <f t="shared" si="12"/>
        <v>#REF!</v>
      </c>
      <c r="H116" s="1083">
        <f t="shared" si="12"/>
        <v>0</v>
      </c>
      <c r="I116" s="1083">
        <f t="shared" si="12"/>
        <v>0</v>
      </c>
      <c r="J116" s="1083">
        <f>SUM(J15:J115)</f>
        <v>0</v>
      </c>
      <c r="K116" s="1083" t="e">
        <f>K14+K50+K52+K55+K63+K68+K71+K77+K80+K87+K90</f>
        <v>#REF!</v>
      </c>
      <c r="L116" s="1091"/>
      <c r="M116" s="1055" t="s">
        <v>643</v>
      </c>
      <c r="N116" s="1095" t="e">
        <f>ROUNDDOWN(B116+C116+E116+F116+G116,-3)</f>
        <v>#REF!</v>
      </c>
      <c r="O116" s="1095">
        <f>'Pricing Schedule'!F32</f>
        <v>0</v>
      </c>
      <c r="P116" s="1095" t="e">
        <f>O116-N116</f>
        <v>#REF!</v>
      </c>
      <c r="Q116" s="1040"/>
      <c r="R116" s="1040"/>
      <c r="S116" s="1040"/>
      <c r="T116" s="1040"/>
    </row>
    <row r="117" spans="1:20" x14ac:dyDescent="0.3">
      <c r="A117" s="1051"/>
      <c r="B117" s="1052"/>
      <c r="C117" s="1052"/>
      <c r="D117" s="1052"/>
      <c r="E117" s="1052"/>
      <c r="F117" s="1052"/>
      <c r="G117" s="1052"/>
      <c r="H117" s="1052"/>
      <c r="I117" s="1052"/>
      <c r="J117" s="1052"/>
      <c r="K117" s="1053"/>
      <c r="L117" s="1054"/>
      <c r="M117" s="1055" t="s">
        <v>660</v>
      </c>
      <c r="N117" s="1095" t="e">
        <f>ROUND(B116+D116+E116+F116+G116,-3)</f>
        <v>#REF!</v>
      </c>
      <c r="O117" s="1095" t="e">
        <f>#REF!</f>
        <v>#REF!</v>
      </c>
      <c r="P117" s="1095" t="e">
        <f>O117-N117</f>
        <v>#REF!</v>
      </c>
      <c r="Q117" s="1056"/>
      <c r="R117" s="1056"/>
      <c r="S117" s="1056"/>
      <c r="T117" s="1056"/>
    </row>
    <row r="118" spans="1:20" x14ac:dyDescent="0.3">
      <c r="A118" s="1050" t="s">
        <v>744</v>
      </c>
      <c r="B118" s="1052"/>
      <c r="C118" s="1052"/>
      <c r="D118" s="1052"/>
      <c r="E118" s="1052"/>
      <c r="F118" s="1052"/>
      <c r="G118" s="1052"/>
      <c r="H118" s="1052">
        <f t="shared" ref="H118:J118" si="13">ROUND((H116*0.15),-2)</f>
        <v>0</v>
      </c>
      <c r="I118" s="1052">
        <f t="shared" si="13"/>
        <v>0</v>
      </c>
      <c r="J118" s="1052">
        <f t="shared" si="13"/>
        <v>0</v>
      </c>
      <c r="K118" s="1033"/>
      <c r="L118" s="1058" t="s">
        <v>743</v>
      </c>
      <c r="M118" s="1055"/>
      <c r="N118" s="1056"/>
      <c r="O118" s="1056"/>
    </row>
    <row r="119" spans="1:20" x14ac:dyDescent="0.3">
      <c r="A119" s="1050"/>
      <c r="B119" s="1052"/>
      <c r="C119" s="1052"/>
      <c r="D119" s="1052"/>
      <c r="E119" s="1052"/>
      <c r="F119" s="1052"/>
      <c r="G119" s="1052"/>
      <c r="H119" s="1052"/>
      <c r="I119" s="1052"/>
      <c r="J119" s="1052"/>
      <c r="K119" s="1033"/>
      <c r="L119" s="1058"/>
      <c r="M119" s="1055"/>
      <c r="N119" s="1056"/>
      <c r="O119" s="1056"/>
    </row>
    <row r="120" spans="1:20" x14ac:dyDescent="0.3">
      <c r="A120" s="1059" t="s">
        <v>447</v>
      </c>
      <c r="B120" s="1060" t="e">
        <f>ROUND((B116+B118),-2)</f>
        <v>#REF!</v>
      </c>
      <c r="C120" s="1060" t="e">
        <f t="shared" ref="C120:J120" si="14">ROUND((C116+C118),-2)</f>
        <v>#REF!</v>
      </c>
      <c r="D120" s="1060" t="e">
        <f t="shared" si="14"/>
        <v>#REF!</v>
      </c>
      <c r="E120" s="1060" t="e">
        <f t="shared" si="14"/>
        <v>#REF!</v>
      </c>
      <c r="F120" s="1060" t="e">
        <f t="shared" si="14"/>
        <v>#REF!</v>
      </c>
      <c r="G120" s="1060" t="e">
        <f t="shared" si="14"/>
        <v>#REF!</v>
      </c>
      <c r="H120" s="1060">
        <f t="shared" si="14"/>
        <v>0</v>
      </c>
      <c r="I120" s="1060">
        <f t="shared" si="14"/>
        <v>0</v>
      </c>
      <c r="J120" s="1060">
        <f t="shared" si="14"/>
        <v>0</v>
      </c>
      <c r="K120" s="1030" t="e">
        <f>ROUND((K116+K118),-2)</f>
        <v>#REF!</v>
      </c>
      <c r="L120" s="1061"/>
      <c r="M120" s="1062"/>
      <c r="N120" s="1063"/>
      <c r="O120" s="1056"/>
    </row>
    <row r="121" spans="1:20" x14ac:dyDescent="0.3">
      <c r="A121" s="1050" t="s">
        <v>753</v>
      </c>
      <c r="B121" s="1052" t="e">
        <f t="shared" ref="B121:G121" si="15">ROUND((B120*0.7),-2)</f>
        <v>#REF!</v>
      </c>
      <c r="C121" s="1052" t="e">
        <f t="shared" si="15"/>
        <v>#REF!</v>
      </c>
      <c r="D121" s="1052" t="e">
        <f t="shared" si="15"/>
        <v>#REF!</v>
      </c>
      <c r="E121" s="1052" t="e">
        <f t="shared" si="15"/>
        <v>#REF!</v>
      </c>
      <c r="F121" s="1052" t="e">
        <f t="shared" si="15"/>
        <v>#REF!</v>
      </c>
      <c r="G121" s="1052" t="e">
        <f t="shared" si="15"/>
        <v>#REF!</v>
      </c>
      <c r="H121" s="1052">
        <f t="shared" ref="H121:J121" si="16">ROUND((H120*0.03),-2)</f>
        <v>0</v>
      </c>
      <c r="I121" s="1052">
        <f t="shared" si="16"/>
        <v>0</v>
      </c>
      <c r="J121" s="1052">
        <f t="shared" si="16"/>
        <v>0</v>
      </c>
      <c r="K121" s="1052" t="e">
        <f>ROUND((K120*0.7),-2)</f>
        <v>#REF!</v>
      </c>
      <c r="L121" s="1058"/>
      <c r="M121" s="1062"/>
      <c r="N121" s="1063"/>
      <c r="O121" s="1056"/>
    </row>
    <row r="122" spans="1:20" x14ac:dyDescent="0.3">
      <c r="A122" s="1059" t="s">
        <v>447</v>
      </c>
      <c r="B122" s="1060" t="e">
        <f>ROUND((B120+B121),-2)</f>
        <v>#REF!</v>
      </c>
      <c r="C122" s="1060" t="e">
        <f t="shared" ref="C122:J122" si="17">ROUND((C120+C121),-2)</f>
        <v>#REF!</v>
      </c>
      <c r="D122" s="1060" t="e">
        <f t="shared" si="17"/>
        <v>#REF!</v>
      </c>
      <c r="E122" s="1060" t="e">
        <f t="shared" si="17"/>
        <v>#REF!</v>
      </c>
      <c r="F122" s="1060" t="e">
        <f t="shared" si="17"/>
        <v>#REF!</v>
      </c>
      <c r="G122" s="1060" t="e">
        <f t="shared" si="17"/>
        <v>#REF!</v>
      </c>
      <c r="H122" s="1060">
        <f t="shared" si="17"/>
        <v>0</v>
      </c>
      <c r="I122" s="1060">
        <f t="shared" si="17"/>
        <v>0</v>
      </c>
      <c r="J122" s="1060">
        <f t="shared" si="17"/>
        <v>0</v>
      </c>
      <c r="K122" s="1030" t="e">
        <f>ROUND((K120+K121),-2)</f>
        <v>#REF!</v>
      </c>
      <c r="L122" s="1061"/>
    </row>
    <row r="123" spans="1:20" x14ac:dyDescent="0.3">
      <c r="A123" s="1050" t="s">
        <v>728</v>
      </c>
      <c r="B123" s="1052" t="e">
        <f>ROUND((B122*0.1),-2)</f>
        <v>#REF!</v>
      </c>
      <c r="C123" s="1052" t="e">
        <f t="shared" ref="C123:J123" si="18">ROUND((C122*0.1),-2)</f>
        <v>#REF!</v>
      </c>
      <c r="D123" s="1052" t="e">
        <f t="shared" si="18"/>
        <v>#REF!</v>
      </c>
      <c r="E123" s="1052" t="e">
        <f t="shared" si="18"/>
        <v>#REF!</v>
      </c>
      <c r="F123" s="1052" t="e">
        <f t="shared" si="18"/>
        <v>#REF!</v>
      </c>
      <c r="G123" s="1052" t="e">
        <f t="shared" si="18"/>
        <v>#REF!</v>
      </c>
      <c r="H123" s="1052">
        <f t="shared" si="18"/>
        <v>0</v>
      </c>
      <c r="I123" s="1052">
        <f t="shared" si="18"/>
        <v>0</v>
      </c>
      <c r="J123" s="1052">
        <f t="shared" si="18"/>
        <v>0</v>
      </c>
      <c r="K123" s="1033" t="e">
        <f>SUM(B123:J123)</f>
        <v>#REF!</v>
      </c>
      <c r="L123" s="1058"/>
    </row>
    <row r="124" spans="1:20" x14ac:dyDescent="0.3">
      <c r="A124" s="1059" t="s">
        <v>447</v>
      </c>
      <c r="B124" s="1060" t="e">
        <f>ROUND((B122+B123),-2)</f>
        <v>#REF!</v>
      </c>
      <c r="C124" s="1060" t="e">
        <f t="shared" ref="C124:J124" si="19">ROUND((C122+C123),-2)</f>
        <v>#REF!</v>
      </c>
      <c r="D124" s="1060" t="e">
        <f t="shared" si="19"/>
        <v>#REF!</v>
      </c>
      <c r="E124" s="1060" t="e">
        <f t="shared" si="19"/>
        <v>#REF!</v>
      </c>
      <c r="F124" s="1060" t="e">
        <f t="shared" si="19"/>
        <v>#REF!</v>
      </c>
      <c r="G124" s="1060" t="e">
        <f t="shared" si="19"/>
        <v>#REF!</v>
      </c>
      <c r="H124" s="1060">
        <f t="shared" si="19"/>
        <v>0</v>
      </c>
      <c r="I124" s="1060">
        <f t="shared" si="19"/>
        <v>0</v>
      </c>
      <c r="J124" s="1060">
        <f t="shared" si="19"/>
        <v>0</v>
      </c>
      <c r="K124" s="1030" t="e">
        <f>ROUND((K122+K123),-2)</f>
        <v>#REF!</v>
      </c>
      <c r="L124" s="1061"/>
      <c r="M124" s="1062"/>
      <c r="N124" s="1063"/>
      <c r="O124" s="1056"/>
    </row>
    <row r="125" spans="1:20" x14ac:dyDescent="0.3">
      <c r="A125" s="1050" t="s">
        <v>754</v>
      </c>
      <c r="B125" s="1052"/>
      <c r="C125" s="1052"/>
      <c r="D125" s="1052"/>
      <c r="E125" s="1052"/>
      <c r="F125" s="1052"/>
      <c r="G125" s="1052"/>
      <c r="H125" s="1052"/>
      <c r="I125" s="1052"/>
      <c r="J125" s="1052"/>
      <c r="K125" s="1033"/>
      <c r="L125" s="1058"/>
      <c r="M125" s="1062"/>
      <c r="N125" s="1063"/>
      <c r="O125" s="1056"/>
    </row>
    <row r="126" spans="1:20" x14ac:dyDescent="0.3">
      <c r="A126" s="1059" t="s">
        <v>447</v>
      </c>
      <c r="B126" s="1060" t="e">
        <f t="shared" ref="B126:K126" si="20">ROUND((B124+B125),-2)</f>
        <v>#REF!</v>
      </c>
      <c r="C126" s="1060" t="e">
        <f t="shared" si="20"/>
        <v>#REF!</v>
      </c>
      <c r="D126" s="1060" t="e">
        <f t="shared" si="20"/>
        <v>#REF!</v>
      </c>
      <c r="E126" s="1060" t="e">
        <f t="shared" si="20"/>
        <v>#REF!</v>
      </c>
      <c r="F126" s="1060" t="e">
        <f t="shared" si="20"/>
        <v>#REF!</v>
      </c>
      <c r="G126" s="1060" t="e">
        <f t="shared" si="20"/>
        <v>#REF!</v>
      </c>
      <c r="H126" s="1060">
        <f t="shared" si="20"/>
        <v>0</v>
      </c>
      <c r="I126" s="1060">
        <f t="shared" si="20"/>
        <v>0</v>
      </c>
      <c r="J126" s="1060">
        <f t="shared" si="20"/>
        <v>0</v>
      </c>
      <c r="K126" s="1030" t="e">
        <f t="shared" si="20"/>
        <v>#REF!</v>
      </c>
      <c r="L126" s="1061"/>
      <c r="M126" s="1055"/>
      <c r="N126" s="1056"/>
      <c r="O126" s="1056"/>
    </row>
    <row r="127" spans="1:20" x14ac:dyDescent="0.3">
      <c r="A127" s="1050" t="s">
        <v>745</v>
      </c>
      <c r="B127" s="1028">
        <f>ROUND((B10*84),-2)</f>
        <v>0</v>
      </c>
      <c r="C127" s="1028">
        <v>0</v>
      </c>
      <c r="D127" s="1028">
        <v>0</v>
      </c>
      <c r="E127" s="1028">
        <v>0</v>
      </c>
      <c r="F127" s="1028">
        <v>0</v>
      </c>
      <c r="G127" s="1028">
        <f>ROUND((G10*84),-2)</f>
        <v>0</v>
      </c>
      <c r="H127" s="1028">
        <f>ROUND((H10*84),-2)</f>
        <v>0</v>
      </c>
      <c r="I127" s="1028">
        <f>ROUND((I10*84),-2)</f>
        <v>0</v>
      </c>
      <c r="J127" s="1029"/>
      <c r="K127" s="1045">
        <f>SUM(B127:J127)</f>
        <v>0</v>
      </c>
      <c r="L127" s="1034" t="s">
        <v>746</v>
      </c>
      <c r="N127" s="1065"/>
      <c r="O127" s="1066"/>
    </row>
    <row r="128" spans="1:20" x14ac:dyDescent="0.3">
      <c r="A128" s="1059" t="s">
        <v>729</v>
      </c>
      <c r="B128" s="1060" t="e">
        <f t="shared" ref="B128:K128" si="21">ROUND((B126+B127),-2)</f>
        <v>#REF!</v>
      </c>
      <c r="C128" s="1060" t="e">
        <f t="shared" si="21"/>
        <v>#REF!</v>
      </c>
      <c r="D128" s="1060" t="e">
        <f t="shared" si="21"/>
        <v>#REF!</v>
      </c>
      <c r="E128" s="1060" t="e">
        <f t="shared" si="21"/>
        <v>#REF!</v>
      </c>
      <c r="F128" s="1060" t="e">
        <f t="shared" si="21"/>
        <v>#REF!</v>
      </c>
      <c r="G128" s="1060" t="e">
        <f t="shared" si="21"/>
        <v>#REF!</v>
      </c>
      <c r="H128" s="1060">
        <f t="shared" si="21"/>
        <v>0</v>
      </c>
      <c r="I128" s="1060">
        <f t="shared" si="21"/>
        <v>0</v>
      </c>
      <c r="J128" s="1060">
        <f t="shared" si="21"/>
        <v>0</v>
      </c>
      <c r="K128" s="1030" t="e">
        <f t="shared" si="21"/>
        <v>#REF!</v>
      </c>
      <c r="L128" s="1061"/>
    </row>
    <row r="129" spans="1:15" x14ac:dyDescent="0.3">
      <c r="A129" s="1050" t="s">
        <v>730</v>
      </c>
      <c r="B129" s="1052" t="e">
        <f>ROUND((B128*0.15),-2)</f>
        <v>#REF!</v>
      </c>
      <c r="C129" s="1052" t="e">
        <f t="shared" ref="C129:J129" si="22">ROUND((C128*0.15),-2)</f>
        <v>#REF!</v>
      </c>
      <c r="D129" s="1052" t="e">
        <f t="shared" si="22"/>
        <v>#REF!</v>
      </c>
      <c r="E129" s="1052" t="e">
        <f t="shared" si="22"/>
        <v>#REF!</v>
      </c>
      <c r="F129" s="1052" t="e">
        <f t="shared" si="22"/>
        <v>#REF!</v>
      </c>
      <c r="G129" s="1052" t="e">
        <f t="shared" si="22"/>
        <v>#REF!</v>
      </c>
      <c r="H129" s="1052">
        <f t="shared" si="22"/>
        <v>0</v>
      </c>
      <c r="I129" s="1052">
        <f t="shared" si="22"/>
        <v>0</v>
      </c>
      <c r="J129" s="1052">
        <f t="shared" si="22"/>
        <v>0</v>
      </c>
      <c r="K129" s="1033" t="e">
        <f>SUM(B129:J129)</f>
        <v>#REF!</v>
      </c>
      <c r="L129" s="1067"/>
    </row>
    <row r="130" spans="1:15" x14ac:dyDescent="0.3">
      <c r="A130" s="1059" t="s">
        <v>729</v>
      </c>
      <c r="B130" s="1060" t="e">
        <f t="shared" ref="B130:K130" si="23">ROUND((B128+B129),-2)</f>
        <v>#REF!</v>
      </c>
      <c r="C130" s="1060" t="e">
        <f t="shared" si="23"/>
        <v>#REF!</v>
      </c>
      <c r="D130" s="1060" t="e">
        <f t="shared" si="23"/>
        <v>#REF!</v>
      </c>
      <c r="E130" s="1060" t="e">
        <f t="shared" si="23"/>
        <v>#REF!</v>
      </c>
      <c r="F130" s="1060" t="e">
        <f t="shared" si="23"/>
        <v>#REF!</v>
      </c>
      <c r="G130" s="1060" t="e">
        <f t="shared" si="23"/>
        <v>#REF!</v>
      </c>
      <c r="H130" s="1060">
        <f t="shared" si="23"/>
        <v>0</v>
      </c>
      <c r="I130" s="1060">
        <f t="shared" si="23"/>
        <v>0</v>
      </c>
      <c r="J130" s="1060">
        <f t="shared" si="23"/>
        <v>0</v>
      </c>
      <c r="K130" s="1030" t="e">
        <f t="shared" si="23"/>
        <v>#REF!</v>
      </c>
      <c r="L130" s="1068"/>
    </row>
    <row r="131" spans="1:15" x14ac:dyDescent="0.3">
      <c r="A131" s="1050" t="s">
        <v>731</v>
      </c>
      <c r="B131" s="1052" t="e">
        <f>ROUND((B130*0.2),-2)</f>
        <v>#REF!</v>
      </c>
      <c r="C131" s="1052" t="e">
        <f t="shared" ref="C131:J131" si="24">ROUND((C130*0.2),-2)</f>
        <v>#REF!</v>
      </c>
      <c r="D131" s="1052" t="e">
        <f t="shared" si="24"/>
        <v>#REF!</v>
      </c>
      <c r="E131" s="1052" t="e">
        <f t="shared" si="24"/>
        <v>#REF!</v>
      </c>
      <c r="F131" s="1052" t="e">
        <f t="shared" si="24"/>
        <v>#REF!</v>
      </c>
      <c r="G131" s="1052" t="e">
        <f t="shared" si="24"/>
        <v>#REF!</v>
      </c>
      <c r="H131" s="1052">
        <f t="shared" si="24"/>
        <v>0</v>
      </c>
      <c r="I131" s="1052">
        <f t="shared" si="24"/>
        <v>0</v>
      </c>
      <c r="J131" s="1052">
        <f t="shared" si="24"/>
        <v>0</v>
      </c>
      <c r="K131" s="1033" t="e">
        <f>ROUND((K130*20%),-2)</f>
        <v>#REF!</v>
      </c>
      <c r="L131" s="1058"/>
    </row>
    <row r="132" spans="1:15" x14ac:dyDescent="0.3">
      <c r="A132" s="1059" t="s">
        <v>447</v>
      </c>
      <c r="B132" s="1060" t="e">
        <f t="shared" ref="B132:J132" si="25">ROUND((B130+B131),-2)</f>
        <v>#REF!</v>
      </c>
      <c r="C132" s="1060" t="e">
        <f t="shared" si="25"/>
        <v>#REF!</v>
      </c>
      <c r="D132" s="1060" t="e">
        <f t="shared" si="25"/>
        <v>#REF!</v>
      </c>
      <c r="E132" s="1060" t="e">
        <f t="shared" si="25"/>
        <v>#REF!</v>
      </c>
      <c r="F132" s="1060" t="e">
        <f t="shared" si="25"/>
        <v>#REF!</v>
      </c>
      <c r="G132" s="1060" t="e">
        <f t="shared" si="25"/>
        <v>#REF!</v>
      </c>
      <c r="H132" s="1060">
        <f t="shared" si="25"/>
        <v>0</v>
      </c>
      <c r="I132" s="1060">
        <f t="shared" si="25"/>
        <v>0</v>
      </c>
      <c r="J132" s="1060">
        <f t="shared" si="25"/>
        <v>0</v>
      </c>
      <c r="K132" s="1030" t="e">
        <f>ROUND((K130+K131),-2)</f>
        <v>#REF!</v>
      </c>
      <c r="L132" s="1061"/>
      <c r="M132" s="1057"/>
    </row>
    <row r="133" spans="1:15" x14ac:dyDescent="0.3">
      <c r="A133" s="1050" t="s">
        <v>752</v>
      </c>
      <c r="B133" s="1052" t="e">
        <f>ROUND((B132*0.7),-2)</f>
        <v>#REF!</v>
      </c>
      <c r="C133" s="1052" t="e">
        <f t="shared" ref="C133:K133" si="26">ROUND((C132*0.7),-2)</f>
        <v>#REF!</v>
      </c>
      <c r="D133" s="1052" t="e">
        <f t="shared" si="26"/>
        <v>#REF!</v>
      </c>
      <c r="E133" s="1052" t="e">
        <f t="shared" si="26"/>
        <v>#REF!</v>
      </c>
      <c r="F133" s="1052" t="e">
        <f t="shared" si="26"/>
        <v>#REF!</v>
      </c>
      <c r="G133" s="1052" t="e">
        <f t="shared" si="26"/>
        <v>#REF!</v>
      </c>
      <c r="H133" s="1052">
        <f t="shared" si="26"/>
        <v>0</v>
      </c>
      <c r="I133" s="1052">
        <f t="shared" si="26"/>
        <v>0</v>
      </c>
      <c r="J133" s="1052">
        <f t="shared" si="26"/>
        <v>0</v>
      </c>
      <c r="K133" s="1052" t="e">
        <f t="shared" si="26"/>
        <v>#REF!</v>
      </c>
      <c r="L133" s="1034"/>
      <c r="M133" s="1057"/>
    </row>
    <row r="134" spans="1:15" x14ac:dyDescent="0.3">
      <c r="A134" s="1069"/>
      <c r="B134" s="1052"/>
      <c r="C134" s="1052"/>
      <c r="D134" s="1052"/>
      <c r="E134" s="1052"/>
      <c r="F134" s="1052"/>
      <c r="G134" s="1052"/>
      <c r="H134" s="1052"/>
      <c r="I134" s="1052"/>
      <c r="J134" s="1052"/>
      <c r="K134" s="1033"/>
      <c r="L134" s="1058"/>
      <c r="M134" s="1057"/>
    </row>
    <row r="135" spans="1:15" x14ac:dyDescent="0.3">
      <c r="A135" s="1070" t="s">
        <v>732</v>
      </c>
      <c r="B135" s="1071" t="e">
        <f>ROUND((B132+B133),-2)</f>
        <v>#REF!</v>
      </c>
      <c r="C135" s="1071" t="e">
        <f t="shared" ref="C135:J135" si="27">ROUND((C132+C133),-2)</f>
        <v>#REF!</v>
      </c>
      <c r="D135" s="1071" t="e">
        <f t="shared" si="27"/>
        <v>#REF!</v>
      </c>
      <c r="E135" s="1071" t="e">
        <f t="shared" si="27"/>
        <v>#REF!</v>
      </c>
      <c r="F135" s="1071" t="e">
        <f t="shared" si="27"/>
        <v>#REF!</v>
      </c>
      <c r="G135" s="1071" t="e">
        <f t="shared" si="27"/>
        <v>#REF!</v>
      </c>
      <c r="H135" s="1071">
        <f t="shared" si="27"/>
        <v>0</v>
      </c>
      <c r="I135" s="1071">
        <f t="shared" si="27"/>
        <v>0</v>
      </c>
      <c r="J135" s="1071">
        <f t="shared" si="27"/>
        <v>0</v>
      </c>
      <c r="K135" s="1072" t="e">
        <f>ROUND((K132+K133),-2)</f>
        <v>#REF!</v>
      </c>
      <c r="L135" s="1073"/>
      <c r="M135" s="1057"/>
    </row>
    <row r="137" spans="1:15" x14ac:dyDescent="0.3">
      <c r="L137" s="1075" t="e">
        <f>SUM(B135:J135)</f>
        <v>#REF!</v>
      </c>
      <c r="M137" s="1057"/>
      <c r="N137" s="889" t="s">
        <v>641</v>
      </c>
      <c r="O137" s="889"/>
    </row>
    <row r="138" spans="1:15" x14ac:dyDescent="0.3">
      <c r="L138" s="1075" t="e">
        <f>L137-K135</f>
        <v>#REF!</v>
      </c>
      <c r="M138" s="1057"/>
      <c r="N138" s="1076">
        <v>42156</v>
      </c>
      <c r="O138" s="889">
        <v>493</v>
      </c>
    </row>
    <row r="139" spans="1:15" x14ac:dyDescent="0.3">
      <c r="M139" s="1057"/>
      <c r="N139" s="1076">
        <v>42339</v>
      </c>
      <c r="O139" s="889">
        <v>509</v>
      </c>
    </row>
    <row r="140" spans="1:15" x14ac:dyDescent="0.3">
      <c r="M140" s="1057"/>
      <c r="N140" s="889"/>
      <c r="O140" s="1077">
        <f>(O139/O138)-1</f>
        <v>3.2454361054766734E-2</v>
      </c>
    </row>
  </sheetData>
  <customSheetViews>
    <customSheetView guid="{2B0692CF-4177-422C-A620-ABA6158FDE4D}" showPageBreaks="1" fitToPage="1" printArea="1" hiddenColumns="1" state="hidden" view="pageBreakPreview">
      <pane ySplit="9" topLeftCell="A106" activePane="bottomLeft" state="frozen"/>
      <selection pane="bottomLeft" activeCell="K128" sqref="K128"/>
      <pageMargins left="0.70866141732283472" right="0.70866141732283472" top="0.39370078740157483" bottom="0.47244094488188981" header="0.31496062992125984" footer="0.31496062992125984"/>
      <pageSetup paperSize="9" scale="51" firstPageNumber="11" fitToHeight="0" orientation="landscape" useFirstPageNumber="1" r:id="rId1"/>
      <headerFooter alignWithMargins="0">
        <oddFooter>&amp;L&amp;6&amp;Z&amp;F&amp;R&amp;10Page &amp;P</oddFooter>
      </headerFooter>
    </customSheetView>
    <customSheetView guid="{6C33A4D3-AF33-443C-A522-C1A990C51A36}" showPageBreaks="1" fitToPage="1" printArea="1" hiddenColumns="1" state="hidden" view="pageBreakPreview">
      <pane ySplit="9" topLeftCell="A106" activePane="bottomLeft" state="frozen"/>
      <selection pane="bottomLeft" activeCell="K128" sqref="K128"/>
      <pageMargins left="0.70866141732283472" right="0.70866141732283472" top="0.39370078740157483" bottom="0.47244094488188981" header="0.31496062992125984" footer="0.31496062992125984"/>
      <pageSetup paperSize="9" scale="51" firstPageNumber="11" fitToHeight="0" orientation="landscape" useFirstPageNumber="1" r:id="rId2"/>
      <headerFooter alignWithMargins="0">
        <oddFooter>&amp;L&amp;6&amp;Z&amp;F&amp;R&amp;10Page &amp;P</oddFooter>
      </headerFooter>
    </customSheetView>
  </customSheetViews>
  <mergeCells count="1">
    <mergeCell ref="L10:L12"/>
  </mergeCells>
  <pageMargins left="0.70866141732283472" right="0.70866141732283472" top="0.39370078740157483" bottom="0.47244094488188981" header="0.31496062992125984" footer="0.31496062992125984"/>
  <pageSetup paperSize="9" scale="52" firstPageNumber="11" fitToHeight="0" orientation="landscape" useFirstPageNumber="1" r:id="rId3"/>
  <headerFooter alignWithMargins="0">
    <oddFooter>&amp;L&amp;6&amp;Z&amp;F&amp;R&amp;10Page &amp;P</oddFooter>
  </headerFooter>
  <drawing r:id="rId4"/>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AJ137"/>
  <sheetViews>
    <sheetView showGridLines="0" view="pageBreakPreview" zoomScaleNormal="115" zoomScaleSheetLayoutView="100" workbookViewId="0">
      <selection activeCell="K44" sqref="K44"/>
    </sheetView>
  </sheetViews>
  <sheetFormatPr defaultColWidth="9" defaultRowHeight="12.75" customHeight="1" x14ac:dyDescent="0.3"/>
  <cols>
    <col min="1" max="1" width="5.33203125" style="466" customWidth="1"/>
    <col min="2" max="2" width="5.58203125" style="466" customWidth="1"/>
    <col min="3" max="3" width="37.1640625" style="466" customWidth="1"/>
    <col min="4" max="4" width="7.08203125" style="466" customWidth="1"/>
    <col min="5" max="5" width="4.5" style="488" customWidth="1"/>
    <col min="6" max="6" width="8.1640625" style="466" customWidth="1"/>
    <col min="7" max="7" width="9.33203125" style="466" customWidth="1"/>
    <col min="8" max="8" width="8.5" style="466" customWidth="1"/>
    <col min="9" max="9" width="10.33203125" style="600" hidden="1" customWidth="1"/>
    <col min="10" max="10" width="10.33203125" style="466" hidden="1" customWidth="1"/>
    <col min="11" max="11" width="51.5" style="466" customWidth="1"/>
    <col min="12" max="12" width="6.83203125" style="488" customWidth="1"/>
    <col min="13" max="13" width="2.58203125" style="488" bestFit="1" customWidth="1"/>
    <col min="14" max="14" width="19.5" style="592" customWidth="1"/>
    <col min="15" max="15" width="11.83203125" style="488" customWidth="1"/>
    <col min="16" max="17" width="7.83203125" style="488" bestFit="1" customWidth="1"/>
    <col min="18" max="18" width="7.6640625" style="488" customWidth="1"/>
    <col min="19" max="19" width="9.1640625" style="488" customWidth="1"/>
    <col min="20" max="20" width="17.83203125" style="488" customWidth="1"/>
    <col min="21" max="21" width="13.6640625" style="466" customWidth="1"/>
    <col min="22" max="22" width="12.58203125" style="466" customWidth="1"/>
    <col min="23" max="16384" width="9" style="466"/>
  </cols>
  <sheetData>
    <row r="1" spans="1:20" ht="21" customHeight="1" x14ac:dyDescent="0.3">
      <c r="A1" s="479" t="e">
        <f>#REF!</f>
        <v>#REF!</v>
      </c>
      <c r="B1" s="481"/>
      <c r="C1" s="482"/>
      <c r="D1" s="482"/>
      <c r="E1" s="483"/>
      <c r="F1" s="482"/>
      <c r="H1" s="484"/>
      <c r="I1" s="598"/>
      <c r="N1" s="1330"/>
      <c r="O1" s="1330"/>
      <c r="P1" s="1330"/>
      <c r="Q1" s="1330"/>
      <c r="R1" s="1330"/>
      <c r="S1" s="1330"/>
      <c r="T1" s="737"/>
    </row>
    <row r="2" spans="1:20" s="319" customFormat="1" ht="19" x14ac:dyDescent="0.3">
      <c r="A2" s="481" t="e">
        <f>#REF!</f>
        <v>#REF!</v>
      </c>
      <c r="I2" s="599"/>
      <c r="L2" s="478"/>
      <c r="M2" s="478"/>
      <c r="N2" s="1330"/>
      <c r="O2" s="1330"/>
      <c r="P2" s="1330"/>
      <c r="Q2" s="1330"/>
      <c r="R2" s="1330"/>
      <c r="S2" s="1330"/>
      <c r="T2" s="738"/>
    </row>
    <row r="3" spans="1:20" ht="9" customHeight="1" x14ac:dyDescent="0.3">
      <c r="H3" s="489"/>
      <c r="I3" s="601"/>
      <c r="L3" s="478"/>
      <c r="M3" s="478"/>
      <c r="N3" s="1330"/>
      <c r="O3" s="1330"/>
      <c r="P3" s="1330"/>
      <c r="Q3" s="1330"/>
      <c r="R3" s="1330"/>
      <c r="S3" s="1330"/>
      <c r="T3" s="737"/>
    </row>
    <row r="4" spans="1:20" ht="12.75" customHeight="1" x14ac:dyDescent="0.3">
      <c r="A4" s="1344" t="s">
        <v>154</v>
      </c>
      <c r="B4" s="602" t="s">
        <v>397</v>
      </c>
      <c r="C4" s="603"/>
      <c r="D4" s="1326" t="s">
        <v>448</v>
      </c>
      <c r="E4" s="1326"/>
      <c r="F4" s="1326"/>
      <c r="G4" s="1326"/>
      <c r="H4" s="1326"/>
      <c r="I4" s="1326"/>
      <c r="J4" s="1327"/>
      <c r="K4" s="604" t="s">
        <v>398</v>
      </c>
      <c r="L4" s="586"/>
      <c r="M4" s="586"/>
      <c r="N4" s="1330"/>
      <c r="O4" s="1330"/>
      <c r="P4" s="1330"/>
      <c r="Q4" s="1330"/>
      <c r="R4" s="1330"/>
      <c r="S4" s="1330"/>
      <c r="T4" s="737"/>
    </row>
    <row r="5" spans="1:20" ht="6" customHeight="1" x14ac:dyDescent="0.3">
      <c r="A5" s="1345"/>
      <c r="B5" s="605"/>
      <c r="C5" s="606"/>
      <c r="D5" s="1326"/>
      <c r="E5" s="1326"/>
      <c r="F5" s="1326"/>
      <c r="G5" s="1326"/>
      <c r="H5" s="1326"/>
      <c r="I5" s="1326"/>
      <c r="J5" s="1327"/>
      <c r="K5" s="607"/>
      <c r="L5" s="478"/>
      <c r="M5" s="478"/>
      <c r="N5" s="1330"/>
      <c r="O5" s="1330"/>
      <c r="P5" s="1330"/>
      <c r="Q5" s="1330"/>
      <c r="R5" s="1330"/>
      <c r="S5" s="1330"/>
      <c r="T5" s="737"/>
    </row>
    <row r="6" spans="1:20" ht="14.25" customHeight="1" x14ac:dyDescent="0.3">
      <c r="A6" s="1345"/>
      <c r="B6" s="712" t="s">
        <v>399</v>
      </c>
      <c r="C6" s="713"/>
      <c r="D6" s="1343" t="s">
        <v>400</v>
      </c>
      <c r="E6" s="1343"/>
      <c r="F6" s="1343"/>
      <c r="G6" s="1329">
        <v>498</v>
      </c>
      <c r="H6" s="1329"/>
      <c r="I6" s="608" t="s">
        <v>401</v>
      </c>
      <c r="J6" s="609" t="s">
        <v>402</v>
      </c>
      <c r="K6" s="607"/>
      <c r="L6" s="586"/>
      <c r="M6" s="586"/>
      <c r="N6" s="1330"/>
      <c r="O6" s="1330"/>
      <c r="P6" s="1330"/>
      <c r="Q6" s="1330"/>
      <c r="R6" s="1330"/>
      <c r="S6" s="1330"/>
      <c r="T6" s="737"/>
    </row>
    <row r="7" spans="1:20" ht="12.75" customHeight="1" x14ac:dyDescent="0.3">
      <c r="A7" s="1346"/>
      <c r="B7" s="714" t="s">
        <v>43</v>
      </c>
      <c r="C7" s="715"/>
      <c r="D7" s="610" t="s">
        <v>151</v>
      </c>
      <c r="E7" s="610" t="s">
        <v>152</v>
      </c>
      <c r="F7" s="610" t="s">
        <v>403</v>
      </c>
      <c r="G7" s="610" t="s">
        <v>44</v>
      </c>
      <c r="H7" s="610" t="s">
        <v>103</v>
      </c>
      <c r="I7" s="611" t="s">
        <v>44</v>
      </c>
      <c r="J7" s="610" t="s">
        <v>44</v>
      </c>
      <c r="K7" s="612"/>
      <c r="L7" s="478"/>
      <c r="M7" s="478"/>
      <c r="N7" s="1330"/>
      <c r="O7" s="1330"/>
      <c r="P7" s="1330"/>
      <c r="Q7" s="1330"/>
      <c r="R7" s="1330"/>
      <c r="S7" s="1330"/>
      <c r="T7" s="737"/>
    </row>
    <row r="8" spans="1:20" ht="6.75" customHeight="1" x14ac:dyDescent="0.3">
      <c r="A8" s="719"/>
      <c r="B8" s="613"/>
      <c r="C8" s="614"/>
      <c r="D8" s="614"/>
      <c r="E8" s="615"/>
      <c r="F8" s="616"/>
      <c r="G8" s="617"/>
      <c r="H8" s="618"/>
      <c r="I8" s="619"/>
      <c r="J8" s="620"/>
      <c r="K8" s="621"/>
      <c r="L8" s="586"/>
      <c r="M8" s="586"/>
      <c r="N8" s="1330"/>
      <c r="O8" s="1330"/>
      <c r="P8" s="1330"/>
      <c r="Q8" s="1330"/>
      <c r="R8" s="1330"/>
      <c r="S8" s="1330"/>
      <c r="T8" s="737"/>
    </row>
    <row r="9" spans="1:20" ht="12.75" customHeight="1" x14ac:dyDescent="0.3">
      <c r="A9" s="719"/>
      <c r="B9" s="680"/>
      <c r="C9" s="682"/>
      <c r="D9" s="614"/>
      <c r="E9" s="615"/>
      <c r="F9" s="616"/>
      <c r="G9" s="617"/>
      <c r="H9" s="618"/>
      <c r="I9" s="718"/>
      <c r="J9" s="620"/>
      <c r="K9" s="621"/>
      <c r="L9" s="622"/>
      <c r="M9" s="622"/>
    </row>
    <row r="10" spans="1:20" ht="12.75" customHeight="1" x14ac:dyDescent="0.3">
      <c r="A10" s="720">
        <v>1</v>
      </c>
      <c r="B10" s="1349" t="s">
        <v>449</v>
      </c>
      <c r="C10" s="1350"/>
      <c r="D10" s="623"/>
      <c r="E10" s="624"/>
      <c r="F10" s="625"/>
      <c r="G10" s="626">
        <f>ROUND(SUBTOTAL(9,G11:G15),-3)</f>
        <v>0</v>
      </c>
      <c r="H10" s="627">
        <f t="shared" ref="H10:H15" si="0">IF(G10="","",G10/$G$6)</f>
        <v>0</v>
      </c>
      <c r="I10" s="626">
        <f>982*20</f>
        <v>19640</v>
      </c>
      <c r="J10" s="628">
        <f>G10-I10</f>
        <v>-19640</v>
      </c>
      <c r="K10" s="629"/>
      <c r="L10" s="337"/>
      <c r="M10" s="337"/>
      <c r="N10" s="746"/>
      <c r="O10" s="630"/>
      <c r="P10" s="630"/>
      <c r="Q10" s="630"/>
      <c r="R10" s="630"/>
    </row>
    <row r="11" spans="1:20" ht="12" customHeight="1" x14ac:dyDescent="0.3">
      <c r="A11" s="719">
        <v>1.1000000000000001</v>
      </c>
      <c r="B11" s="680"/>
      <c r="C11" s="639"/>
      <c r="D11" s="631"/>
      <c r="E11" s="632" t="s">
        <v>154</v>
      </c>
      <c r="F11" s="625"/>
      <c r="G11" s="634">
        <f>D11*F11</f>
        <v>0</v>
      </c>
      <c r="H11" s="748">
        <f t="shared" si="0"/>
        <v>0</v>
      </c>
      <c r="I11" s="636"/>
      <c r="J11" s="637"/>
      <c r="K11" s="629"/>
      <c r="L11" s="337"/>
      <c r="M11" s="337"/>
      <c r="N11" s="736"/>
      <c r="O11" s="747"/>
      <c r="P11" s="747"/>
    </row>
    <row r="12" spans="1:20" ht="12" x14ac:dyDescent="0.3">
      <c r="A12" s="719">
        <v>1.2</v>
      </c>
      <c r="B12" s="1337"/>
      <c r="C12" s="1338"/>
      <c r="D12" s="625"/>
      <c r="E12" s="632" t="s">
        <v>153</v>
      </c>
      <c r="F12" s="625"/>
      <c r="G12" s="634">
        <f>D12*F12</f>
        <v>0</v>
      </c>
      <c r="H12" s="748">
        <f t="shared" si="0"/>
        <v>0</v>
      </c>
      <c r="I12" s="636"/>
      <c r="J12" s="637"/>
      <c r="K12" s="629"/>
      <c r="L12" s="337"/>
      <c r="M12" s="337"/>
    </row>
    <row r="13" spans="1:20" ht="12" x14ac:dyDescent="0.3">
      <c r="A13" s="719">
        <v>1.3</v>
      </c>
      <c r="B13" s="1351"/>
      <c r="C13" s="1352"/>
      <c r="D13" s="625"/>
      <c r="E13" s="632" t="s">
        <v>154</v>
      </c>
      <c r="F13" s="625"/>
      <c r="G13" s="634">
        <f>D13*F13</f>
        <v>0</v>
      </c>
      <c r="H13" s="748">
        <f t="shared" si="0"/>
        <v>0</v>
      </c>
      <c r="I13" s="636"/>
      <c r="J13" s="637"/>
      <c r="K13" s="629"/>
      <c r="L13" s="337"/>
      <c r="M13" s="337"/>
      <c r="N13" s="745"/>
    </row>
    <row r="14" spans="1:20" ht="12" x14ac:dyDescent="0.3">
      <c r="A14" s="719">
        <v>1.4</v>
      </c>
      <c r="B14" s="1351"/>
      <c r="C14" s="1352"/>
      <c r="D14" s="625"/>
      <c r="E14" s="632" t="s">
        <v>154</v>
      </c>
      <c r="F14" s="625"/>
      <c r="G14" s="634">
        <f>D14*F14</f>
        <v>0</v>
      </c>
      <c r="H14" s="748">
        <f t="shared" si="0"/>
        <v>0</v>
      </c>
      <c r="I14" s="636"/>
      <c r="J14" s="637"/>
      <c r="K14" s="629"/>
      <c r="L14" s="337"/>
      <c r="M14" s="337"/>
    </row>
    <row r="15" spans="1:20" ht="12" x14ac:dyDescent="0.3">
      <c r="A15" s="719">
        <v>1.5</v>
      </c>
      <c r="B15" s="1337"/>
      <c r="C15" s="1338"/>
      <c r="D15" s="625"/>
      <c r="E15" s="632" t="s">
        <v>154</v>
      </c>
      <c r="F15" s="625"/>
      <c r="G15" s="634">
        <f>D15*F15</f>
        <v>0</v>
      </c>
      <c r="H15" s="748">
        <f t="shared" si="0"/>
        <v>0</v>
      </c>
      <c r="I15" s="636"/>
      <c r="J15" s="637"/>
      <c r="K15" s="629"/>
      <c r="L15" s="337"/>
      <c r="M15" s="337"/>
    </row>
    <row r="16" spans="1:20" ht="13.5" customHeight="1" x14ac:dyDescent="0.3">
      <c r="A16" s="719">
        <v>1.6</v>
      </c>
      <c r="B16" s="752"/>
      <c r="C16" s="753"/>
      <c r="D16" s="625"/>
      <c r="E16" s="632"/>
      <c r="F16" s="633"/>
      <c r="G16" s="634"/>
      <c r="H16" s="748"/>
      <c r="I16" s="636"/>
      <c r="J16" s="637"/>
      <c r="K16" s="629"/>
      <c r="L16" s="337"/>
      <c r="M16" s="337"/>
    </row>
    <row r="17" spans="1:36" ht="12" customHeight="1" x14ac:dyDescent="0.3">
      <c r="A17" s="719"/>
      <c r="B17" s="680"/>
      <c r="C17" s="639"/>
      <c r="D17" s="625"/>
      <c r="E17" s="638"/>
      <c r="F17" s="633"/>
      <c r="G17" s="634"/>
      <c r="H17" s="635"/>
      <c r="I17" s="636"/>
      <c r="J17" s="637"/>
      <c r="K17" s="629"/>
      <c r="L17" s="337"/>
      <c r="M17" s="337"/>
    </row>
    <row r="18" spans="1:36" ht="14.25" customHeight="1" x14ac:dyDescent="0.3">
      <c r="A18" s="720">
        <v>2</v>
      </c>
      <c r="B18" s="1347" t="s">
        <v>450</v>
      </c>
      <c r="C18" s="1348"/>
      <c r="D18" s="625"/>
      <c r="E18" s="632"/>
      <c r="F18" s="633"/>
      <c r="G18" s="626">
        <f>ROUND(SUBTOTAL(9,G19:G20),-3)</f>
        <v>0</v>
      </c>
      <c r="H18" s="627">
        <f>IF(G18="","",G18/$G$6)</f>
        <v>0</v>
      </c>
      <c r="I18" s="626">
        <f>982*18</f>
        <v>17676</v>
      </c>
      <c r="J18" s="628">
        <f>G18-I18</f>
        <v>-17676</v>
      </c>
      <c r="K18" s="642"/>
      <c r="L18" s="643"/>
      <c r="M18" s="643"/>
      <c r="N18" s="733"/>
      <c r="O18" s="630"/>
      <c r="P18" s="630"/>
      <c r="Q18" s="630"/>
      <c r="R18" s="630"/>
    </row>
    <row r="19" spans="1:36" ht="23.25" customHeight="1" x14ac:dyDescent="0.3">
      <c r="A19" s="719">
        <v>2.1</v>
      </c>
      <c r="B19" s="1337"/>
      <c r="C19" s="1338"/>
      <c r="D19" s="625"/>
      <c r="E19" s="632" t="s">
        <v>27</v>
      </c>
      <c r="F19" s="633"/>
      <c r="G19" s="634">
        <f>D19*F19</f>
        <v>0</v>
      </c>
      <c r="H19" s="748">
        <f>IF(G19="","",G19/$G$6)</f>
        <v>0</v>
      </c>
      <c r="I19" s="644"/>
      <c r="J19" s="628"/>
      <c r="K19" s="642"/>
      <c r="L19" s="643"/>
      <c r="M19" s="643"/>
      <c r="N19" s="733"/>
      <c r="O19" s="630"/>
      <c r="P19" s="630"/>
      <c r="Q19" s="630"/>
      <c r="R19" s="630"/>
    </row>
    <row r="20" spans="1:36" ht="12" x14ac:dyDescent="0.3">
      <c r="A20" s="719">
        <v>2.2000000000000002</v>
      </c>
      <c r="B20" s="1337"/>
      <c r="C20" s="1338"/>
      <c r="D20" s="625"/>
      <c r="E20" s="632" t="s">
        <v>331</v>
      </c>
      <c r="F20" s="633"/>
      <c r="G20" s="634">
        <f>D20*F20</f>
        <v>0</v>
      </c>
      <c r="H20" s="748">
        <f>IF(G20="","",G20/$G$6)</f>
        <v>0</v>
      </c>
      <c r="I20" s="644"/>
      <c r="J20" s="628"/>
      <c r="K20" s="642"/>
      <c r="L20" s="643"/>
      <c r="M20" s="643"/>
      <c r="N20" s="733"/>
      <c r="O20" s="630"/>
      <c r="P20" s="630"/>
      <c r="Q20" s="630"/>
      <c r="R20" s="630"/>
    </row>
    <row r="21" spans="1:36" s="488" customFormat="1" ht="12.75" customHeight="1" x14ac:dyDescent="0.3">
      <c r="A21" s="719"/>
      <c r="B21" s="640"/>
      <c r="C21" s="641"/>
      <c r="D21" s="625"/>
      <c r="E21" s="632"/>
      <c r="F21" s="633"/>
      <c r="G21" s="634"/>
      <c r="H21" s="635"/>
      <c r="I21" s="636"/>
      <c r="J21" s="637" t="str">
        <f>IF(I21="","",G21-I21)</f>
        <v/>
      </c>
      <c r="K21" s="642"/>
      <c r="L21" s="643"/>
      <c r="M21" s="643"/>
      <c r="N21" s="592"/>
      <c r="U21" s="466"/>
      <c r="V21" s="466"/>
      <c r="W21" s="466"/>
      <c r="X21" s="466"/>
      <c r="Y21" s="466"/>
      <c r="Z21" s="466"/>
      <c r="AA21" s="466"/>
      <c r="AB21" s="466"/>
      <c r="AC21" s="466"/>
      <c r="AD21" s="466"/>
      <c r="AE21" s="466"/>
      <c r="AF21" s="466"/>
      <c r="AG21" s="466"/>
      <c r="AH21" s="466"/>
      <c r="AI21" s="466"/>
      <c r="AJ21" s="466"/>
    </row>
    <row r="22" spans="1:36" s="488" customFormat="1" ht="12.75" customHeight="1" x14ac:dyDescent="0.3">
      <c r="A22" s="720">
        <v>3</v>
      </c>
      <c r="B22" s="1349" t="s">
        <v>436</v>
      </c>
      <c r="C22" s="1350"/>
      <c r="D22" s="625"/>
      <c r="E22" s="624"/>
      <c r="F22" s="625"/>
      <c r="G22" s="626">
        <f>ROUND(SUBTOTAL(9,G23:G27),-3)</f>
        <v>0</v>
      </c>
      <c r="H22" s="627">
        <f>IF(G22="","",G22/$G$6)</f>
        <v>0</v>
      </c>
      <c r="I22" s="626">
        <f>982*56</f>
        <v>54992</v>
      </c>
      <c r="J22" s="628">
        <f>G22-I22</f>
        <v>-54992</v>
      </c>
      <c r="K22" s="642"/>
      <c r="L22" s="643"/>
      <c r="M22" s="643"/>
      <c r="N22" s="733"/>
      <c r="O22" s="630"/>
      <c r="P22" s="630"/>
      <c r="Q22" s="630"/>
      <c r="R22" s="630"/>
      <c r="S22" s="630"/>
      <c r="U22" s="466"/>
      <c r="V22" s="466"/>
      <c r="W22" s="466"/>
      <c r="X22" s="466"/>
      <c r="Y22" s="466"/>
      <c r="Z22" s="466"/>
      <c r="AA22" s="466"/>
      <c r="AB22" s="466"/>
      <c r="AC22" s="466"/>
      <c r="AD22" s="466"/>
      <c r="AE22" s="466"/>
      <c r="AF22" s="466"/>
      <c r="AG22" s="466"/>
      <c r="AH22" s="466"/>
      <c r="AI22" s="466"/>
      <c r="AJ22" s="466"/>
    </row>
    <row r="23" spans="1:36" s="488" customFormat="1" ht="25.5" customHeight="1" x14ac:dyDescent="0.3">
      <c r="A23" s="719">
        <v>3.1</v>
      </c>
      <c r="B23" s="1337"/>
      <c r="C23" s="1338"/>
      <c r="D23" s="625"/>
      <c r="E23" s="624" t="s">
        <v>193</v>
      </c>
      <c r="F23" s="625"/>
      <c r="G23" s="634">
        <f>D23*F23</f>
        <v>0</v>
      </c>
      <c r="H23" s="748">
        <f>IF(G23="","",G23/$G$6)</f>
        <v>0</v>
      </c>
      <c r="I23" s="626"/>
      <c r="J23" s="628"/>
      <c r="K23" s="642"/>
      <c r="L23" s="643"/>
      <c r="M23" s="643"/>
      <c r="N23" s="733"/>
      <c r="O23" s="630"/>
      <c r="P23" s="630"/>
      <c r="Q23" s="630"/>
      <c r="R23" s="630"/>
      <c r="U23" s="466"/>
      <c r="V23" s="466"/>
      <c r="W23" s="466"/>
      <c r="X23" s="466"/>
      <c r="Y23" s="466"/>
      <c r="Z23" s="466"/>
      <c r="AA23" s="466"/>
      <c r="AB23" s="466"/>
      <c r="AC23" s="466"/>
      <c r="AD23" s="466"/>
      <c r="AE23" s="466"/>
      <c r="AF23" s="466"/>
      <c r="AG23" s="466"/>
      <c r="AH23" s="466"/>
      <c r="AI23" s="466"/>
      <c r="AJ23" s="466"/>
    </row>
    <row r="24" spans="1:36" s="488" customFormat="1" ht="12.75" customHeight="1" x14ac:dyDescent="0.3">
      <c r="A24" s="719">
        <v>3.2</v>
      </c>
      <c r="B24" s="1337"/>
      <c r="C24" s="1338"/>
      <c r="D24" s="625"/>
      <c r="E24" s="624" t="s">
        <v>158</v>
      </c>
      <c r="F24" s="625"/>
      <c r="G24" s="634">
        <f>D24*F24</f>
        <v>0</v>
      </c>
      <c r="H24" s="748">
        <f>IF(G24="","",G24/$G$6)</f>
        <v>0</v>
      </c>
      <c r="I24" s="626"/>
      <c r="J24" s="628"/>
      <c r="K24" s="642"/>
      <c r="L24" s="643"/>
      <c r="M24" s="643"/>
      <c r="N24" s="733"/>
      <c r="O24" s="630"/>
      <c r="P24" s="630"/>
      <c r="Q24" s="630"/>
      <c r="R24" s="630"/>
      <c r="U24" s="466"/>
      <c r="V24" s="466"/>
      <c r="W24" s="466"/>
      <c r="X24" s="466"/>
      <c r="Y24" s="466"/>
      <c r="Z24" s="466"/>
      <c r="AA24" s="466"/>
      <c r="AB24" s="466"/>
      <c r="AC24" s="466"/>
      <c r="AD24" s="466"/>
      <c r="AE24" s="466"/>
      <c r="AF24" s="466"/>
      <c r="AG24" s="466"/>
      <c r="AH24" s="466"/>
      <c r="AI24" s="466"/>
      <c r="AJ24" s="466"/>
    </row>
    <row r="25" spans="1:36" s="488" customFormat="1" ht="12.75" customHeight="1" x14ac:dyDescent="0.3">
      <c r="A25" s="719">
        <v>3.3</v>
      </c>
      <c r="B25" s="1337"/>
      <c r="C25" s="1338"/>
      <c r="D25" s="749"/>
      <c r="E25" s="624" t="s">
        <v>193</v>
      </c>
      <c r="F25" s="625"/>
      <c r="G25" s="634">
        <f>D25*F25</f>
        <v>0</v>
      </c>
      <c r="H25" s="748">
        <f>IF(G25="","",G25/$G$6)</f>
        <v>0</v>
      </c>
      <c r="I25" s="626"/>
      <c r="J25" s="628"/>
      <c r="K25" s="642"/>
      <c r="L25" s="643"/>
      <c r="M25" s="643"/>
      <c r="N25" s="733"/>
      <c r="O25" s="630"/>
      <c r="P25" s="630"/>
      <c r="Q25" s="630"/>
      <c r="R25" s="630"/>
      <c r="U25" s="466"/>
      <c r="V25" s="466"/>
      <c r="W25" s="466"/>
      <c r="X25" s="466"/>
      <c r="Y25" s="466"/>
      <c r="Z25" s="466"/>
      <c r="AA25" s="466"/>
      <c r="AB25" s="466"/>
      <c r="AC25" s="466"/>
      <c r="AD25" s="466"/>
      <c r="AE25" s="466"/>
      <c r="AF25" s="466"/>
      <c r="AG25" s="466"/>
      <c r="AH25" s="466"/>
      <c r="AI25" s="466"/>
      <c r="AJ25" s="466"/>
    </row>
    <row r="26" spans="1:36" s="488" customFormat="1" ht="11.5" x14ac:dyDescent="0.3">
      <c r="A26" s="719">
        <v>3.4</v>
      </c>
      <c r="B26" s="1337"/>
      <c r="C26" s="1338"/>
      <c r="D26" s="625"/>
      <c r="E26" s="624"/>
      <c r="F26" s="625"/>
      <c r="G26" s="635" t="s">
        <v>156</v>
      </c>
      <c r="H26" s="635" t="s">
        <v>156</v>
      </c>
      <c r="I26" s="626"/>
      <c r="J26" s="628"/>
      <c r="K26" s="645"/>
      <c r="L26" s="643"/>
      <c r="M26" s="643"/>
      <c r="N26" s="733"/>
      <c r="O26" s="630"/>
      <c r="P26" s="630"/>
      <c r="Q26" s="630"/>
      <c r="R26" s="630"/>
      <c r="U26" s="466"/>
      <c r="V26" s="466"/>
      <c r="W26" s="466"/>
      <c r="X26" s="466"/>
      <c r="Y26" s="466"/>
      <c r="Z26" s="466"/>
      <c r="AA26" s="466"/>
      <c r="AB26" s="466"/>
      <c r="AC26" s="466"/>
      <c r="AD26" s="466"/>
      <c r="AE26" s="466"/>
      <c r="AF26" s="466"/>
      <c r="AG26" s="466"/>
      <c r="AH26" s="466"/>
      <c r="AI26" s="466"/>
      <c r="AJ26" s="466"/>
    </row>
    <row r="27" spans="1:36" s="488" customFormat="1" ht="12" x14ac:dyDescent="0.3">
      <c r="A27" s="719">
        <v>3.5</v>
      </c>
      <c r="B27" s="1337"/>
      <c r="C27" s="1338"/>
      <c r="D27" s="625"/>
      <c r="E27" s="624" t="s">
        <v>158</v>
      </c>
      <c r="F27" s="625"/>
      <c r="G27" s="634">
        <f>D27*F27</f>
        <v>0</v>
      </c>
      <c r="H27" s="748">
        <f>IF(G27="","",G27/$G$6)</f>
        <v>0</v>
      </c>
      <c r="I27" s="626"/>
      <c r="J27" s="628"/>
      <c r="K27" s="642"/>
      <c r="L27" s="643"/>
      <c r="M27" s="643"/>
      <c r="N27" s="733"/>
      <c r="O27" s="630"/>
      <c r="P27" s="630"/>
      <c r="Q27" s="630"/>
      <c r="R27" s="630"/>
      <c r="U27" s="466"/>
      <c r="V27" s="466"/>
      <c r="W27" s="466"/>
      <c r="X27" s="466"/>
      <c r="Y27" s="466"/>
      <c r="Z27" s="466"/>
      <c r="AA27" s="466"/>
      <c r="AB27" s="466"/>
      <c r="AC27" s="466"/>
      <c r="AD27" s="466"/>
      <c r="AE27" s="466"/>
      <c r="AF27" s="466"/>
      <c r="AG27" s="466"/>
      <c r="AH27" s="466"/>
      <c r="AI27" s="466"/>
      <c r="AJ27" s="466"/>
    </row>
    <row r="28" spans="1:36" s="488" customFormat="1" ht="12" x14ac:dyDescent="0.3">
      <c r="A28" s="719">
        <v>3.6</v>
      </c>
      <c r="B28" s="750"/>
      <c r="C28" s="751"/>
      <c r="D28" s="625"/>
      <c r="E28" s="624"/>
      <c r="F28" s="625"/>
      <c r="G28" s="634">
        <f>D28*F28</f>
        <v>0</v>
      </c>
      <c r="H28" s="748">
        <f>IF(G28="","",G28/$G$6)</f>
        <v>0</v>
      </c>
      <c r="I28" s="626"/>
      <c r="J28" s="628"/>
      <c r="K28" s="642"/>
      <c r="L28" s="643"/>
      <c r="M28" s="643"/>
      <c r="N28" s="733"/>
      <c r="O28" s="630"/>
      <c r="P28" s="630"/>
      <c r="Q28" s="630"/>
      <c r="R28" s="630"/>
      <c r="U28" s="466"/>
      <c r="V28" s="466"/>
      <c r="W28" s="466"/>
      <c r="X28" s="466"/>
      <c r="Y28" s="466"/>
      <c r="Z28" s="466"/>
      <c r="AA28" s="466"/>
      <c r="AB28" s="466"/>
      <c r="AC28" s="466"/>
      <c r="AD28" s="466"/>
      <c r="AE28" s="466"/>
      <c r="AF28" s="466"/>
      <c r="AG28" s="466"/>
      <c r="AH28" s="466"/>
      <c r="AI28" s="466"/>
      <c r="AJ28" s="466"/>
    </row>
    <row r="29" spans="1:36" s="488" customFormat="1" ht="12" x14ac:dyDescent="0.3">
      <c r="A29" s="719">
        <v>3.7</v>
      </c>
      <c r="B29" s="750"/>
      <c r="C29" s="751"/>
      <c r="D29" s="625"/>
      <c r="E29" s="624"/>
      <c r="F29" s="625"/>
      <c r="G29" s="634">
        <f>D29*F29</f>
        <v>0</v>
      </c>
      <c r="H29" s="748">
        <f>IF(G29="","",G29/$G$6)</f>
        <v>0</v>
      </c>
      <c r="I29" s="626"/>
      <c r="J29" s="628"/>
      <c r="K29" s="642"/>
      <c r="L29" s="643"/>
      <c r="M29" s="643"/>
      <c r="N29" s="733"/>
      <c r="O29" s="630"/>
      <c r="P29" s="630"/>
      <c r="Q29" s="630"/>
      <c r="R29" s="630"/>
      <c r="U29" s="466"/>
      <c r="V29" s="466"/>
      <c r="W29" s="466"/>
      <c r="X29" s="466"/>
      <c r="Y29" s="466"/>
      <c r="Z29" s="466"/>
      <c r="AA29" s="466"/>
      <c r="AB29" s="466"/>
      <c r="AC29" s="466"/>
      <c r="AD29" s="466"/>
      <c r="AE29" s="466"/>
      <c r="AF29" s="466"/>
      <c r="AG29" s="466"/>
      <c r="AH29" s="466"/>
      <c r="AI29" s="466"/>
      <c r="AJ29" s="466"/>
    </row>
    <row r="30" spans="1:36" s="488" customFormat="1" ht="12.75" customHeight="1" x14ac:dyDescent="0.3">
      <c r="A30" s="719"/>
      <c r="B30" s="650"/>
      <c r="C30" s="641"/>
      <c r="D30" s="625"/>
      <c r="E30" s="624"/>
      <c r="F30" s="625"/>
      <c r="G30" s="634"/>
      <c r="H30" s="635"/>
      <c r="I30" s="636"/>
      <c r="J30" s="637" t="str">
        <f>IF(I30="","",G30-I30)</f>
        <v/>
      </c>
      <c r="K30" s="642"/>
      <c r="L30" s="643"/>
      <c r="M30" s="643"/>
      <c r="N30" s="592"/>
      <c r="O30" s="630"/>
      <c r="U30" s="466"/>
      <c r="V30" s="466"/>
      <c r="W30" s="466"/>
      <c r="X30" s="466"/>
      <c r="Y30" s="466"/>
      <c r="Z30" s="466"/>
      <c r="AA30" s="466"/>
      <c r="AB30" s="466"/>
      <c r="AC30" s="466"/>
      <c r="AD30" s="466"/>
      <c r="AE30" s="466"/>
      <c r="AF30" s="466"/>
      <c r="AG30" s="466"/>
      <c r="AH30" s="466"/>
      <c r="AI30" s="466"/>
      <c r="AJ30" s="466"/>
    </row>
    <row r="31" spans="1:36" s="488" customFormat="1" ht="12.75" customHeight="1" x14ac:dyDescent="0.3">
      <c r="A31" s="720">
        <v>4</v>
      </c>
      <c r="B31" s="1333" t="s">
        <v>437</v>
      </c>
      <c r="C31" s="1334"/>
      <c r="D31" s="625"/>
      <c r="E31" s="732"/>
      <c r="F31" s="625"/>
      <c r="G31" s="626">
        <f>ROUND(SUBTOTAL(9,G32:G35),-3)</f>
        <v>0</v>
      </c>
      <c r="H31" s="627">
        <f>IF(G31="","",G31/$G$6)</f>
        <v>0</v>
      </c>
      <c r="I31" s="626">
        <f>982*50</f>
        <v>49100</v>
      </c>
      <c r="J31" s="628">
        <f>G31-I31</f>
        <v>-49100</v>
      </c>
      <c r="K31" s="642"/>
      <c r="L31" s="654"/>
      <c r="M31" s="654"/>
      <c r="N31" s="733"/>
      <c r="O31" s="630"/>
      <c r="P31" s="630"/>
      <c r="Q31" s="630"/>
      <c r="R31" s="630"/>
      <c r="U31" s="466"/>
      <c r="V31" s="466"/>
      <c r="W31" s="466"/>
      <c r="X31" s="466"/>
      <c r="Y31" s="466"/>
      <c r="Z31" s="466"/>
      <c r="AA31" s="466"/>
      <c r="AB31" s="466"/>
      <c r="AC31" s="466"/>
      <c r="AD31" s="466"/>
      <c r="AE31" s="466"/>
      <c r="AF31" s="466"/>
      <c r="AG31" s="466"/>
      <c r="AH31" s="466"/>
      <c r="AI31" s="466"/>
      <c r="AJ31" s="466"/>
    </row>
    <row r="32" spans="1:36" s="488" customFormat="1" ht="12.75" customHeight="1" x14ac:dyDescent="0.3">
      <c r="A32" s="719">
        <v>4.0999999999999996</v>
      </c>
      <c r="B32" s="1337"/>
      <c r="C32" s="1338"/>
      <c r="D32" s="625"/>
      <c r="E32" s="732" t="s">
        <v>27</v>
      </c>
      <c r="F32" s="625"/>
      <c r="G32" s="634">
        <f>D32*F32</f>
        <v>0</v>
      </c>
      <c r="H32" s="748">
        <f>IF(G32="","",G32/$G$6)</f>
        <v>0</v>
      </c>
      <c r="I32" s="626"/>
      <c r="J32" s="628"/>
      <c r="K32" s="642"/>
      <c r="L32" s="654"/>
      <c r="M32" s="654"/>
      <c r="N32" s="733"/>
      <c r="O32" s="630"/>
      <c r="P32" s="630"/>
      <c r="Q32" s="630"/>
      <c r="R32" s="630"/>
      <c r="U32" s="466"/>
      <c r="V32" s="466"/>
      <c r="W32" s="466"/>
      <c r="X32" s="466"/>
      <c r="Y32" s="466"/>
      <c r="Z32" s="466"/>
      <c r="AA32" s="466"/>
      <c r="AB32" s="466"/>
      <c r="AC32" s="466"/>
      <c r="AD32" s="466"/>
      <c r="AE32" s="466"/>
      <c r="AF32" s="466"/>
      <c r="AG32" s="466"/>
      <c r="AH32" s="466"/>
      <c r="AI32" s="466"/>
      <c r="AJ32" s="466"/>
    </row>
    <row r="33" spans="1:36" s="488" customFormat="1" ht="12.75" customHeight="1" x14ac:dyDescent="0.3">
      <c r="A33" s="719">
        <v>4.2</v>
      </c>
      <c r="B33" s="1337"/>
      <c r="C33" s="1338"/>
      <c r="D33" s="625"/>
      <c r="E33" s="732" t="s">
        <v>158</v>
      </c>
      <c r="F33" s="625"/>
      <c r="G33" s="634">
        <f>D33*F33</f>
        <v>0</v>
      </c>
      <c r="H33" s="748">
        <f>IF(G33="","",G33/$G$6)</f>
        <v>0</v>
      </c>
      <c r="I33" s="626"/>
      <c r="J33" s="628"/>
      <c r="K33" s="642"/>
      <c r="L33" s="654"/>
      <c r="M33" s="654"/>
      <c r="N33" s="733"/>
      <c r="O33" s="630"/>
      <c r="P33" s="630"/>
      <c r="Q33" s="630"/>
      <c r="R33" s="630"/>
      <c r="U33" s="466"/>
      <c r="V33" s="466"/>
      <c r="W33" s="466"/>
      <c r="X33" s="466"/>
      <c r="Y33" s="466"/>
      <c r="Z33" s="466"/>
      <c r="AA33" s="466"/>
      <c r="AB33" s="466"/>
      <c r="AC33" s="466"/>
      <c r="AD33" s="466"/>
      <c r="AE33" s="466"/>
      <c r="AF33" s="466"/>
      <c r="AG33" s="466"/>
      <c r="AH33" s="466"/>
      <c r="AI33" s="466"/>
      <c r="AJ33" s="466"/>
    </row>
    <row r="34" spans="1:36" s="488" customFormat="1" ht="12.75" customHeight="1" x14ac:dyDescent="0.3">
      <c r="A34" s="719">
        <v>4.3</v>
      </c>
      <c r="B34" s="1337"/>
      <c r="C34" s="1338"/>
      <c r="D34" s="625"/>
      <c r="E34" s="732" t="s">
        <v>158</v>
      </c>
      <c r="F34" s="625"/>
      <c r="G34" s="634">
        <f>D34*F34</f>
        <v>0</v>
      </c>
      <c r="H34" s="748">
        <f>IF(G34="","",G34/$G$6)</f>
        <v>0</v>
      </c>
      <c r="I34" s="626"/>
      <c r="J34" s="628"/>
      <c r="K34" s="642"/>
      <c r="L34" s="654"/>
      <c r="M34" s="654"/>
      <c r="N34" s="733"/>
      <c r="O34" s="630"/>
      <c r="P34" s="630"/>
      <c r="Q34" s="630"/>
      <c r="R34" s="630"/>
      <c r="U34" s="466"/>
      <c r="V34" s="466"/>
      <c r="W34" s="466"/>
      <c r="X34" s="466"/>
      <c r="Y34" s="466"/>
      <c r="Z34" s="466"/>
      <c r="AA34" s="466"/>
      <c r="AB34" s="466"/>
      <c r="AC34" s="466"/>
      <c r="AD34" s="466"/>
      <c r="AE34" s="466"/>
      <c r="AF34" s="466"/>
      <c r="AG34" s="466"/>
      <c r="AH34" s="466"/>
      <c r="AI34" s="466"/>
      <c r="AJ34" s="466"/>
    </row>
    <row r="35" spans="1:36" s="488" customFormat="1" ht="12" x14ac:dyDescent="0.3">
      <c r="A35" s="719">
        <v>4.4000000000000004</v>
      </c>
      <c r="B35" s="1337"/>
      <c r="C35" s="1338"/>
      <c r="D35" s="625"/>
      <c r="E35" s="638" t="s">
        <v>158</v>
      </c>
      <c r="F35" s="649"/>
      <c r="G35" s="634">
        <f>D35*F35</f>
        <v>0</v>
      </c>
      <c r="H35" s="748">
        <f>IF(G35="","",G35/$G$6)</f>
        <v>0</v>
      </c>
      <c r="I35" s="636"/>
      <c r="J35" s="637"/>
      <c r="K35" s="642"/>
      <c r="L35" s="643"/>
      <c r="M35" s="643"/>
      <c r="N35" s="592"/>
      <c r="O35" s="630"/>
      <c r="U35" s="466"/>
      <c r="V35" s="466"/>
      <c r="W35" s="466"/>
      <c r="X35" s="466"/>
      <c r="Y35" s="466"/>
      <c r="Z35" s="466"/>
      <c r="AA35" s="466"/>
      <c r="AB35" s="466"/>
      <c r="AC35" s="466"/>
      <c r="AD35" s="466"/>
      <c r="AE35" s="466"/>
      <c r="AF35" s="466"/>
      <c r="AG35" s="466"/>
      <c r="AH35" s="466"/>
      <c r="AI35" s="466"/>
      <c r="AJ35" s="466"/>
    </row>
    <row r="36" spans="1:36" s="488" customFormat="1" ht="12" x14ac:dyDescent="0.3">
      <c r="A36" s="719"/>
      <c r="B36" s="680"/>
      <c r="C36" s="639"/>
      <c r="D36" s="625"/>
      <c r="E36" s="632"/>
      <c r="F36" s="649"/>
      <c r="G36" s="634"/>
      <c r="H36" s="635"/>
      <c r="I36" s="636"/>
      <c r="J36" s="637"/>
      <c r="K36" s="642"/>
      <c r="L36" s="643"/>
      <c r="M36" s="643"/>
      <c r="N36" s="592"/>
      <c r="O36" s="630"/>
      <c r="U36" s="466"/>
      <c r="V36" s="466"/>
      <c r="W36" s="466"/>
      <c r="X36" s="466"/>
      <c r="Y36" s="466"/>
      <c r="Z36" s="466"/>
      <c r="AA36" s="466"/>
      <c r="AB36" s="466"/>
      <c r="AC36" s="466"/>
      <c r="AD36" s="466"/>
      <c r="AE36" s="466"/>
      <c r="AF36" s="466"/>
      <c r="AG36" s="466"/>
      <c r="AH36" s="466"/>
      <c r="AI36" s="466"/>
      <c r="AJ36" s="466"/>
    </row>
    <row r="37" spans="1:36" s="488" customFormat="1" ht="12.75" customHeight="1" x14ac:dyDescent="0.3">
      <c r="A37" s="720">
        <v>5</v>
      </c>
      <c r="B37" s="1349" t="s">
        <v>438</v>
      </c>
      <c r="C37" s="1350"/>
      <c r="D37" s="625"/>
      <c r="E37" s="624"/>
      <c r="F37" s="625"/>
      <c r="G37" s="626">
        <f>ROUND(SUBTOTAL(9,G38:G40),-3)</f>
        <v>0</v>
      </c>
      <c r="H37" s="627">
        <f>IF(G37="","",G37/$G$6)</f>
        <v>0</v>
      </c>
      <c r="I37" s="626">
        <f>982*0</f>
        <v>0</v>
      </c>
      <c r="J37" s="628">
        <f>G37-I37</f>
        <v>0</v>
      </c>
      <c r="K37" s="642"/>
      <c r="L37" s="643"/>
      <c r="M37" s="643"/>
      <c r="N37" s="734"/>
      <c r="O37" s="630"/>
      <c r="P37" s="630"/>
      <c r="Q37" s="647"/>
      <c r="R37" s="647"/>
      <c r="U37" s="466"/>
      <c r="V37" s="466"/>
      <c r="W37" s="466"/>
      <c r="X37" s="466"/>
      <c r="Y37" s="466"/>
      <c r="Z37" s="466"/>
      <c r="AA37" s="466"/>
      <c r="AB37" s="466"/>
      <c r="AC37" s="466"/>
      <c r="AD37" s="466"/>
      <c r="AE37" s="466"/>
      <c r="AF37" s="466"/>
      <c r="AG37" s="466"/>
      <c r="AH37" s="466"/>
      <c r="AI37" s="466"/>
      <c r="AJ37" s="466"/>
    </row>
    <row r="38" spans="1:36" s="488" customFormat="1" ht="24.75" customHeight="1" x14ac:dyDescent="0.3">
      <c r="A38" s="719">
        <v>5.0999999999999996</v>
      </c>
      <c r="B38" s="1337"/>
      <c r="C38" s="1338"/>
      <c r="D38" s="625"/>
      <c r="E38" s="632" t="s">
        <v>331</v>
      </c>
      <c r="F38" s="649"/>
      <c r="G38" s="634">
        <f>D38*F38</f>
        <v>0</v>
      </c>
      <c r="H38" s="748">
        <f>IF(G38="","",G38/$G$6)</f>
        <v>0</v>
      </c>
      <c r="I38" s="636"/>
      <c r="J38" s="637"/>
      <c r="K38" s="642"/>
      <c r="L38" s="643"/>
      <c r="M38" s="643"/>
      <c r="N38" s="592"/>
      <c r="O38" s="630"/>
      <c r="U38" s="466"/>
      <c r="V38" s="466"/>
      <c r="W38" s="466"/>
      <c r="X38" s="466"/>
      <c r="Y38" s="466"/>
      <c r="Z38" s="466"/>
      <c r="AA38" s="466"/>
      <c r="AB38" s="466"/>
      <c r="AC38" s="466"/>
      <c r="AD38" s="466"/>
      <c r="AE38" s="466"/>
      <c r="AF38" s="466"/>
      <c r="AG38" s="466"/>
      <c r="AH38" s="466"/>
      <c r="AI38" s="466"/>
      <c r="AJ38" s="466"/>
    </row>
    <row r="39" spans="1:36" s="488" customFormat="1" ht="12" x14ac:dyDescent="0.3">
      <c r="A39" s="719">
        <v>5.2</v>
      </c>
      <c r="B39" s="1337"/>
      <c r="C39" s="1338"/>
      <c r="D39" s="625"/>
      <c r="E39" s="632" t="s">
        <v>158</v>
      </c>
      <c r="F39" s="649"/>
      <c r="G39" s="634">
        <f>D39*F39</f>
        <v>0</v>
      </c>
      <c r="H39" s="748">
        <f>IF(G39="","",G39/$G$6)</f>
        <v>0</v>
      </c>
      <c r="I39" s="636"/>
      <c r="J39" s="637"/>
      <c r="K39" s="642"/>
      <c r="L39" s="643"/>
      <c r="M39" s="643"/>
      <c r="N39" s="592"/>
      <c r="O39" s="630"/>
      <c r="U39" s="466"/>
      <c r="V39" s="466"/>
      <c r="W39" s="466"/>
      <c r="X39" s="466"/>
      <c r="Y39" s="466"/>
      <c r="Z39" s="466"/>
      <c r="AA39" s="466"/>
      <c r="AB39" s="466"/>
      <c r="AC39" s="466"/>
      <c r="AD39" s="466"/>
      <c r="AE39" s="466"/>
      <c r="AF39" s="466"/>
      <c r="AG39" s="466"/>
      <c r="AH39" s="466"/>
      <c r="AI39" s="466"/>
      <c r="AJ39" s="466"/>
    </row>
    <row r="40" spans="1:36" s="488" customFormat="1" ht="12" x14ac:dyDescent="0.3">
      <c r="A40" s="719">
        <v>5.3</v>
      </c>
      <c r="B40" s="1337"/>
      <c r="C40" s="1338"/>
      <c r="D40" s="625"/>
      <c r="E40" s="632" t="s">
        <v>158</v>
      </c>
      <c r="F40" s="649"/>
      <c r="G40" s="634">
        <f>D40*F40</f>
        <v>0</v>
      </c>
      <c r="H40" s="748">
        <f>IF(G40="","",G40/$G$6)</f>
        <v>0</v>
      </c>
      <c r="I40" s="636"/>
      <c r="J40" s="637"/>
      <c r="K40" s="642"/>
      <c r="L40" s="643"/>
      <c r="M40" s="643"/>
      <c r="N40" s="592"/>
      <c r="O40" s="630"/>
      <c r="U40" s="466"/>
      <c r="V40" s="466"/>
      <c r="W40" s="466"/>
      <c r="X40" s="466"/>
      <c r="Y40" s="466"/>
      <c r="Z40" s="466"/>
      <c r="AA40" s="466"/>
      <c r="AB40" s="466"/>
      <c r="AC40" s="466"/>
      <c r="AD40" s="466"/>
      <c r="AE40" s="466"/>
      <c r="AF40" s="466"/>
      <c r="AG40" s="466"/>
      <c r="AH40" s="466"/>
      <c r="AI40" s="466"/>
      <c r="AJ40" s="466"/>
    </row>
    <row r="41" spans="1:36" ht="12.75" customHeight="1" x14ac:dyDescent="0.3">
      <c r="A41" s="719"/>
      <c r="B41" s="680"/>
      <c r="C41" s="682"/>
      <c r="D41" s="625"/>
      <c r="E41" s="648"/>
      <c r="F41" s="655"/>
      <c r="G41" s="634"/>
      <c r="H41" s="635" t="str">
        <f>IF(G41="","",G41/#REF!)</f>
        <v/>
      </c>
      <c r="I41" s="636"/>
      <c r="J41" s="637"/>
      <c r="K41" s="642"/>
      <c r="L41" s="643"/>
      <c r="M41" s="643"/>
      <c r="O41" s="630"/>
    </row>
    <row r="42" spans="1:36" ht="12.75" customHeight="1" x14ac:dyDescent="0.3">
      <c r="A42" s="720">
        <v>6</v>
      </c>
      <c r="B42" s="1333" t="s">
        <v>451</v>
      </c>
      <c r="C42" s="1334"/>
      <c r="D42" s="625"/>
      <c r="E42" s="653"/>
      <c r="F42" s="625"/>
      <c r="G42" s="626">
        <f>ROUND(SUBTOTAL(9,G43:G51),-3)</f>
        <v>0</v>
      </c>
      <c r="H42" s="627">
        <f t="shared" ref="H42:H47" si="1">IF(G42="","",G42/$G$6)</f>
        <v>0</v>
      </c>
      <c r="I42" s="626">
        <f>982*184</f>
        <v>180688</v>
      </c>
      <c r="J42" s="628">
        <f>G42-I42</f>
        <v>-180688</v>
      </c>
      <c r="K42" s="642"/>
      <c r="L42" s="656"/>
      <c r="M42" s="643"/>
      <c r="N42" s="733"/>
      <c r="O42" s="630"/>
      <c r="P42" s="630"/>
      <c r="Q42" s="630"/>
      <c r="R42" s="630"/>
      <c r="AB42" s="488"/>
    </row>
    <row r="43" spans="1:36" ht="12" x14ac:dyDescent="0.3">
      <c r="A43" s="719">
        <v>6.1</v>
      </c>
      <c r="B43" s="1337"/>
      <c r="C43" s="1338"/>
      <c r="D43" s="625"/>
      <c r="E43" s="653" t="s">
        <v>27</v>
      </c>
      <c r="F43" s="625"/>
      <c r="G43" s="634">
        <f t="shared" ref="G43:G51" si="2">D43*F43</f>
        <v>0</v>
      </c>
      <c r="H43" s="748">
        <f t="shared" si="1"/>
        <v>0</v>
      </c>
      <c r="I43" s="636"/>
      <c r="J43" s="637"/>
      <c r="K43" s="645"/>
      <c r="L43" s="643"/>
      <c r="M43" s="643"/>
      <c r="O43" s="630"/>
      <c r="AB43" s="488"/>
    </row>
    <row r="44" spans="1:36" ht="24" customHeight="1" x14ac:dyDescent="0.3">
      <c r="A44" s="719">
        <v>6.2</v>
      </c>
      <c r="B44" s="1337"/>
      <c r="C44" s="1338"/>
      <c r="D44" s="625"/>
      <c r="E44" s="638" t="s">
        <v>27</v>
      </c>
      <c r="F44" s="625"/>
      <c r="G44" s="634">
        <f t="shared" si="2"/>
        <v>0</v>
      </c>
      <c r="H44" s="748">
        <f t="shared" si="1"/>
        <v>0</v>
      </c>
      <c r="I44" s="636"/>
      <c r="J44" s="637"/>
      <c r="K44" s="642"/>
      <c r="L44" s="657"/>
      <c r="M44" s="658"/>
      <c r="O44" s="630"/>
      <c r="AB44" s="488"/>
    </row>
    <row r="45" spans="1:36" ht="12" x14ac:dyDescent="0.3">
      <c r="A45" s="719">
        <v>6.3</v>
      </c>
      <c r="B45" s="1337"/>
      <c r="C45" s="1338"/>
      <c r="D45" s="625"/>
      <c r="E45" s="638" t="s">
        <v>27</v>
      </c>
      <c r="F45" s="625"/>
      <c r="G45" s="634">
        <f>D45*F45</f>
        <v>0</v>
      </c>
      <c r="H45" s="748">
        <f t="shared" si="1"/>
        <v>0</v>
      </c>
      <c r="I45" s="636"/>
      <c r="J45" s="637"/>
      <c r="K45" s="645"/>
      <c r="L45" s="658"/>
      <c r="M45" s="658"/>
      <c r="O45" s="630"/>
      <c r="AB45" s="488"/>
    </row>
    <row r="46" spans="1:36" ht="12" x14ac:dyDescent="0.3">
      <c r="A46" s="719">
        <v>6.4</v>
      </c>
      <c r="B46" s="1337"/>
      <c r="C46" s="1338"/>
      <c r="D46" s="625"/>
      <c r="E46" s="638" t="s">
        <v>155</v>
      </c>
      <c r="F46" s="625"/>
      <c r="G46" s="634">
        <f t="shared" si="2"/>
        <v>0</v>
      </c>
      <c r="H46" s="748">
        <f t="shared" si="1"/>
        <v>0</v>
      </c>
      <c r="I46" s="636"/>
      <c r="J46" s="637"/>
      <c r="K46" s="645"/>
      <c r="L46" s="656"/>
      <c r="M46" s="658"/>
      <c r="O46" s="630"/>
      <c r="AB46" s="488"/>
    </row>
    <row r="47" spans="1:36" ht="12" x14ac:dyDescent="0.3">
      <c r="A47" s="719">
        <v>6.5</v>
      </c>
      <c r="B47" s="1337"/>
      <c r="C47" s="1338"/>
      <c r="D47" s="625"/>
      <c r="E47" s="638" t="s">
        <v>27</v>
      </c>
      <c r="F47" s="625"/>
      <c r="G47" s="634">
        <f t="shared" si="2"/>
        <v>0</v>
      </c>
      <c r="H47" s="748">
        <f t="shared" si="1"/>
        <v>0</v>
      </c>
      <c r="I47" s="636"/>
      <c r="J47" s="637"/>
      <c r="K47" s="645"/>
      <c r="L47" s="656"/>
      <c r="M47" s="658"/>
      <c r="O47" s="630"/>
      <c r="AB47" s="488"/>
    </row>
    <row r="48" spans="1:36" ht="23.25" customHeight="1" x14ac:dyDescent="0.3">
      <c r="A48" s="719">
        <v>6.6</v>
      </c>
      <c r="B48" s="1337"/>
      <c r="C48" s="1338"/>
      <c r="D48" s="625"/>
      <c r="E48" s="638"/>
      <c r="F48" s="649"/>
      <c r="G48" s="634" t="s">
        <v>156</v>
      </c>
      <c r="H48" s="635" t="s">
        <v>156</v>
      </c>
      <c r="I48" s="636"/>
      <c r="J48" s="637"/>
      <c r="K48" s="645"/>
      <c r="L48" s="658"/>
      <c r="M48" s="646"/>
      <c r="O48" s="630"/>
      <c r="AB48" s="488"/>
    </row>
    <row r="49" spans="1:36" ht="12" customHeight="1" x14ac:dyDescent="0.3">
      <c r="A49" s="719">
        <v>6.7</v>
      </c>
      <c r="B49" s="1337"/>
      <c r="C49" s="1338"/>
      <c r="D49" s="625"/>
      <c r="E49" s="638" t="s">
        <v>153</v>
      </c>
      <c r="F49" s="649"/>
      <c r="G49" s="634">
        <f t="shared" si="2"/>
        <v>0</v>
      </c>
      <c r="H49" s="748">
        <f>IF(G49="","",G49/$G$6)</f>
        <v>0</v>
      </c>
      <c r="I49" s="636"/>
      <c r="J49" s="637"/>
      <c r="K49" s="642"/>
      <c r="L49" s="466"/>
      <c r="M49" s="646"/>
      <c r="O49" s="630"/>
      <c r="AB49" s="659" t="s">
        <v>404</v>
      </c>
      <c r="AC49" s="660">
        <v>65</v>
      </c>
    </row>
    <row r="50" spans="1:36" ht="12.75" customHeight="1" x14ac:dyDescent="0.3">
      <c r="A50" s="719">
        <v>6.8</v>
      </c>
      <c r="B50" s="1337"/>
      <c r="C50" s="1338"/>
      <c r="D50" s="625"/>
      <c r="E50" s="638" t="s">
        <v>153</v>
      </c>
      <c r="F50" s="655"/>
      <c r="G50" s="634">
        <f t="shared" si="2"/>
        <v>0</v>
      </c>
      <c r="H50" s="748">
        <f>IF(G50="","",G50/$G$6)</f>
        <v>0</v>
      </c>
      <c r="I50" s="636"/>
      <c r="J50" s="637"/>
      <c r="K50" s="642"/>
      <c r="L50" s="658"/>
      <c r="M50" s="643"/>
      <c r="O50" s="630"/>
    </row>
    <row r="51" spans="1:36" ht="12.75" customHeight="1" x14ac:dyDescent="0.3">
      <c r="A51" s="719">
        <v>6.9</v>
      </c>
      <c r="B51" s="1337"/>
      <c r="C51" s="1338"/>
      <c r="D51" s="625"/>
      <c r="E51" s="638" t="s">
        <v>158</v>
      </c>
      <c r="F51" s="649"/>
      <c r="G51" s="634">
        <f t="shared" si="2"/>
        <v>0</v>
      </c>
      <c r="H51" s="748">
        <f>IF(G51="","",G51/$G$6)</f>
        <v>0</v>
      </c>
      <c r="I51" s="636"/>
      <c r="J51" s="637"/>
      <c r="K51" s="642"/>
      <c r="L51" s="643"/>
      <c r="M51" s="643"/>
      <c r="O51" s="630"/>
    </row>
    <row r="52" spans="1:36" ht="11.5" x14ac:dyDescent="0.3">
      <c r="A52" s="719"/>
      <c r="B52" s="651"/>
      <c r="C52" s="652"/>
      <c r="D52" s="625"/>
      <c r="E52" s="653"/>
      <c r="F52" s="625"/>
      <c r="G52" s="626"/>
      <c r="H52" s="627"/>
      <c r="I52" s="626"/>
      <c r="J52" s="628"/>
      <c r="K52" s="642"/>
      <c r="L52" s="643"/>
      <c r="M52" s="646"/>
      <c r="O52" s="630"/>
    </row>
    <row r="53" spans="1:36" ht="14.25" customHeight="1" x14ac:dyDescent="0.3">
      <c r="A53" s="720">
        <v>7</v>
      </c>
      <c r="B53" s="1333" t="s">
        <v>439</v>
      </c>
      <c r="C53" s="1334"/>
      <c r="D53" s="625"/>
      <c r="E53" s="653"/>
      <c r="F53" s="625"/>
      <c r="G53" s="626">
        <f>ROUND(SUBTOTAL(9,G54:G55),-3)</f>
        <v>0</v>
      </c>
      <c r="H53" s="627">
        <f>IF(G53="","",G53/$G$6)</f>
        <v>0</v>
      </c>
      <c r="I53" s="626">
        <f>982*91</f>
        <v>89362</v>
      </c>
      <c r="J53" s="628">
        <f>G53-I53</f>
        <v>-89362</v>
      </c>
      <c r="K53" s="642"/>
      <c r="L53" s="643"/>
      <c r="M53" s="643"/>
      <c r="O53" s="630"/>
    </row>
    <row r="54" spans="1:36" ht="12.75" customHeight="1" x14ac:dyDescent="0.3">
      <c r="A54" s="719">
        <v>7.1</v>
      </c>
      <c r="B54" s="1337"/>
      <c r="C54" s="1338"/>
      <c r="D54" s="625"/>
      <c r="E54" s="638" t="s">
        <v>155</v>
      </c>
      <c r="F54" s="625"/>
      <c r="G54" s="634">
        <f>D54*F54</f>
        <v>0</v>
      </c>
      <c r="H54" s="748">
        <f>IF(G54="","",G54/$G$6)</f>
        <v>0</v>
      </c>
      <c r="I54" s="636"/>
      <c r="J54" s="637"/>
      <c r="K54" s="642"/>
      <c r="L54" s="643"/>
      <c r="M54" s="643"/>
      <c r="N54" s="733"/>
      <c r="O54" s="630"/>
      <c r="P54" s="630"/>
    </row>
    <row r="55" spans="1:36" ht="12.75" customHeight="1" x14ac:dyDescent="0.3">
      <c r="A55" s="719">
        <v>7.2</v>
      </c>
      <c r="B55" s="1337"/>
      <c r="C55" s="1338"/>
      <c r="D55" s="625"/>
      <c r="E55" s="638"/>
      <c r="F55" s="625"/>
      <c r="G55" s="625" t="s">
        <v>156</v>
      </c>
      <c r="H55" s="625" t="s">
        <v>156</v>
      </c>
      <c r="I55" s="636"/>
      <c r="J55" s="637"/>
      <c r="K55" s="642"/>
      <c r="L55" s="643"/>
      <c r="M55" s="643"/>
      <c r="N55" s="733"/>
      <c r="O55" s="630"/>
      <c r="P55" s="630"/>
    </row>
    <row r="56" spans="1:36" ht="12.75" customHeight="1" x14ac:dyDescent="0.3">
      <c r="A56" s="719"/>
      <c r="B56" s="750"/>
      <c r="C56" s="751"/>
      <c r="D56" s="625"/>
      <c r="E56" s="648"/>
      <c r="F56" s="625"/>
      <c r="G56" s="625"/>
      <c r="H56" s="625"/>
      <c r="I56" s="636"/>
      <c r="J56" s="637"/>
      <c r="K56" s="642"/>
      <c r="L56" s="643"/>
      <c r="M56" s="643"/>
      <c r="N56" s="733"/>
      <c r="O56" s="630"/>
      <c r="P56" s="630"/>
    </row>
    <row r="57" spans="1:36" ht="12.75" customHeight="1" x14ac:dyDescent="0.3">
      <c r="A57" s="720">
        <v>8</v>
      </c>
      <c r="B57" s="1333" t="s">
        <v>452</v>
      </c>
      <c r="C57" s="1334"/>
      <c r="D57" s="625"/>
      <c r="E57" s="653"/>
      <c r="F57" s="625"/>
      <c r="G57" s="626">
        <f>ROUND(SUBTOTAL(9,G58:G59),-3)</f>
        <v>0</v>
      </c>
      <c r="H57" s="627">
        <f>IF(G57="","",G57/$G$6)</f>
        <v>0</v>
      </c>
      <c r="I57" s="636"/>
      <c r="J57" s="637"/>
      <c r="K57" s="642"/>
      <c r="L57" s="643"/>
      <c r="M57" s="643"/>
      <c r="N57" s="733"/>
      <c r="O57" s="630"/>
      <c r="P57" s="630"/>
    </row>
    <row r="58" spans="1:36" ht="12.75" customHeight="1" x14ac:dyDescent="0.3">
      <c r="A58" s="719">
        <v>8.1</v>
      </c>
      <c r="B58" s="1337"/>
      <c r="C58" s="1338"/>
      <c r="D58" s="625"/>
      <c r="E58" s="638" t="s">
        <v>155</v>
      </c>
      <c r="F58" s="625"/>
      <c r="G58" s="634">
        <f>D58*F58</f>
        <v>0</v>
      </c>
      <c r="H58" s="748">
        <f>IF(G58="","",G58/$G$6)</f>
        <v>0</v>
      </c>
      <c r="I58" s="636"/>
      <c r="J58" s="637"/>
      <c r="K58" s="642"/>
      <c r="L58" s="643"/>
      <c r="M58" s="643"/>
      <c r="N58" s="733"/>
      <c r="O58" s="630"/>
      <c r="P58" s="630"/>
    </row>
    <row r="59" spans="1:36" ht="12.75" customHeight="1" x14ac:dyDescent="0.3">
      <c r="A59" s="719">
        <v>8.1999999999999993</v>
      </c>
      <c r="B59" s="1337"/>
      <c r="C59" s="1338"/>
      <c r="D59" s="625"/>
      <c r="E59" s="638"/>
      <c r="F59" s="625"/>
      <c r="G59" s="625" t="s">
        <v>156</v>
      </c>
      <c r="H59" s="625" t="s">
        <v>156</v>
      </c>
      <c r="I59" s="636"/>
      <c r="J59" s="637"/>
      <c r="K59" s="642"/>
      <c r="L59" s="643"/>
      <c r="M59" s="646"/>
      <c r="O59" s="630"/>
    </row>
    <row r="60" spans="1:36" ht="12.75" customHeight="1" x14ac:dyDescent="0.3">
      <c r="A60" s="719"/>
      <c r="B60" s="750"/>
      <c r="C60" s="751"/>
      <c r="D60" s="625"/>
      <c r="E60" s="648"/>
      <c r="F60" s="625"/>
      <c r="G60" s="625"/>
      <c r="H60" s="625"/>
      <c r="I60" s="636"/>
      <c r="J60" s="637"/>
      <c r="K60" s="642"/>
      <c r="L60" s="643"/>
      <c r="M60" s="646"/>
      <c r="O60" s="630"/>
    </row>
    <row r="61" spans="1:36" ht="12.75" customHeight="1" x14ac:dyDescent="0.3">
      <c r="A61" s="720">
        <v>9</v>
      </c>
      <c r="B61" s="1341" t="s">
        <v>440</v>
      </c>
      <c r="C61" s="1342"/>
      <c r="D61" s="625"/>
      <c r="E61" s="653"/>
      <c r="F61" s="625"/>
      <c r="G61" s="626">
        <f>ROUND(SUBTOTAL(9,G62:G66),-3)</f>
        <v>0</v>
      </c>
      <c r="H61" s="627">
        <f>IF(G61="","",G61/$G$6)</f>
        <v>0</v>
      </c>
      <c r="I61" s="626">
        <f>982*25</f>
        <v>24550</v>
      </c>
      <c r="J61" s="628">
        <f>G61-I61</f>
        <v>-24550</v>
      </c>
      <c r="K61" s="642"/>
      <c r="L61" s="643"/>
      <c r="M61" s="643"/>
      <c r="O61" s="630"/>
    </row>
    <row r="62" spans="1:36" ht="12.75" customHeight="1" x14ac:dyDescent="0.3">
      <c r="A62" s="719">
        <v>9.1</v>
      </c>
      <c r="B62" s="1337"/>
      <c r="C62" s="1338"/>
      <c r="D62" s="625"/>
      <c r="E62" s="638"/>
      <c r="F62" s="649"/>
      <c r="G62" s="635" t="s">
        <v>156</v>
      </c>
      <c r="H62" s="635" t="s">
        <v>156</v>
      </c>
      <c r="I62" s="636"/>
      <c r="J62" s="637"/>
      <c r="K62" s="642"/>
      <c r="L62" s="643"/>
      <c r="M62" s="643"/>
      <c r="O62" s="630"/>
    </row>
    <row r="63" spans="1:36" s="488" customFormat="1" ht="12.75" customHeight="1" x14ac:dyDescent="0.3">
      <c r="A63" s="719">
        <v>9.1999999999999993</v>
      </c>
      <c r="B63" s="1339"/>
      <c r="C63" s="1340"/>
      <c r="D63" s="625"/>
      <c r="E63" s="638"/>
      <c r="F63" s="649"/>
      <c r="G63" s="634">
        <f>D63*F63</f>
        <v>0</v>
      </c>
      <c r="H63" s="748">
        <f>IF(G63="","",G63/$G$6)</f>
        <v>0</v>
      </c>
      <c r="I63" s="636"/>
      <c r="J63" s="637"/>
      <c r="K63" s="642"/>
      <c r="L63" s="643"/>
      <c r="M63" s="643"/>
      <c r="N63" s="733"/>
      <c r="O63" s="630"/>
      <c r="P63" s="630"/>
      <c r="U63" s="466"/>
      <c r="V63" s="466"/>
      <c r="W63" s="466"/>
      <c r="X63" s="466"/>
      <c r="Y63" s="466"/>
      <c r="Z63" s="466"/>
      <c r="AA63" s="466"/>
      <c r="AB63" s="466"/>
      <c r="AC63" s="466"/>
      <c r="AD63" s="466"/>
      <c r="AE63" s="466"/>
      <c r="AF63" s="466"/>
      <c r="AG63" s="466"/>
      <c r="AH63" s="466"/>
      <c r="AI63" s="466"/>
      <c r="AJ63" s="466"/>
    </row>
    <row r="64" spans="1:36" s="488" customFormat="1" ht="12" x14ac:dyDescent="0.3">
      <c r="A64" s="719">
        <v>9.3000000000000007</v>
      </c>
      <c r="B64" s="1337"/>
      <c r="C64" s="1338"/>
      <c r="D64" s="625"/>
      <c r="E64" s="638" t="s">
        <v>27</v>
      </c>
      <c r="F64" s="649"/>
      <c r="G64" s="634">
        <f>D64*F64</f>
        <v>0</v>
      </c>
      <c r="H64" s="748">
        <f>IF(G64="","",G64/$G$6)</f>
        <v>0</v>
      </c>
      <c r="I64" s="636"/>
      <c r="J64" s="637"/>
      <c r="K64" s="645"/>
      <c r="L64" s="643"/>
      <c r="M64" s="643"/>
      <c r="N64" s="592"/>
      <c r="O64" s="630"/>
      <c r="U64" s="466"/>
      <c r="V64" s="466"/>
      <c r="W64" s="466"/>
      <c r="X64" s="466"/>
      <c r="Y64" s="466"/>
      <c r="Z64" s="466"/>
      <c r="AA64" s="466"/>
      <c r="AB64" s="466"/>
      <c r="AC64" s="466"/>
      <c r="AD64" s="466"/>
      <c r="AE64" s="466"/>
      <c r="AF64" s="466"/>
      <c r="AG64" s="466"/>
      <c r="AH64" s="466"/>
      <c r="AI64" s="466"/>
      <c r="AJ64" s="466"/>
    </row>
    <row r="65" spans="1:36" s="488" customFormat="1" ht="12.75" customHeight="1" x14ac:dyDescent="0.3">
      <c r="A65" s="719">
        <v>9.4</v>
      </c>
      <c r="B65" s="1337"/>
      <c r="C65" s="1338"/>
      <c r="D65" s="625"/>
      <c r="E65" s="648" t="s">
        <v>27</v>
      </c>
      <c r="F65" s="655"/>
      <c r="G65" s="634">
        <f>D65*F65</f>
        <v>0</v>
      </c>
      <c r="H65" s="748">
        <f>IF(G65="","",G65/$G$6)</f>
        <v>0</v>
      </c>
      <c r="I65" s="636"/>
      <c r="J65" s="637"/>
      <c r="K65" s="642"/>
      <c r="L65" s="643"/>
      <c r="M65" s="643"/>
      <c r="N65" s="592"/>
      <c r="O65" s="630"/>
      <c r="U65" s="466"/>
      <c r="V65" s="466"/>
      <c r="W65" s="466"/>
      <c r="X65" s="466"/>
      <c r="Y65" s="466"/>
      <c r="Z65" s="466"/>
      <c r="AA65" s="466"/>
      <c r="AB65" s="466"/>
      <c r="AC65" s="466"/>
      <c r="AD65" s="466"/>
      <c r="AE65" s="466"/>
      <c r="AF65" s="466"/>
      <c r="AG65" s="466"/>
      <c r="AH65" s="466"/>
      <c r="AI65" s="466"/>
      <c r="AJ65" s="466"/>
    </row>
    <row r="66" spans="1:36" s="488" customFormat="1" ht="12.75" customHeight="1" x14ac:dyDescent="0.3">
      <c r="A66" s="719">
        <v>9.5</v>
      </c>
      <c r="B66" s="1339"/>
      <c r="C66" s="1340"/>
      <c r="D66" s="625"/>
      <c r="E66" s="653"/>
      <c r="F66" s="625"/>
      <c r="G66" s="635" t="s">
        <v>156</v>
      </c>
      <c r="H66" s="635" t="s">
        <v>156</v>
      </c>
      <c r="I66" s="636"/>
      <c r="J66" s="637" t="str">
        <f>IF(I66="","",G66-I66)</f>
        <v/>
      </c>
      <c r="K66" s="642"/>
      <c r="L66" s="643"/>
      <c r="M66" s="646"/>
      <c r="N66" s="592"/>
      <c r="O66" s="630"/>
      <c r="U66" s="466"/>
      <c r="V66" s="466"/>
      <c r="W66" s="466"/>
      <c r="X66" s="466"/>
      <c r="Y66" s="466"/>
      <c r="Z66" s="466"/>
      <c r="AA66" s="466"/>
      <c r="AB66" s="466"/>
      <c r="AC66" s="466"/>
      <c r="AD66" s="466"/>
      <c r="AE66" s="466"/>
      <c r="AF66" s="466"/>
      <c r="AG66" s="466"/>
      <c r="AH66" s="466"/>
      <c r="AI66" s="466"/>
      <c r="AJ66" s="466"/>
    </row>
    <row r="67" spans="1:36" s="667" customFormat="1" ht="14.15" customHeight="1" x14ac:dyDescent="0.3">
      <c r="A67" s="719"/>
      <c r="B67" s="662"/>
      <c r="C67" s="652"/>
      <c r="D67" s="625"/>
      <c r="E67" s="653"/>
      <c r="F67" s="625"/>
      <c r="G67" s="634"/>
      <c r="H67" s="635"/>
      <c r="I67" s="636"/>
      <c r="J67" s="637" t="str">
        <f>IF(I67="","",G67-I67)</f>
        <v/>
      </c>
      <c r="K67" s="642"/>
      <c r="L67" s="664"/>
      <c r="M67" s="664"/>
      <c r="N67" s="735"/>
      <c r="O67" s="666"/>
      <c r="P67" s="665"/>
      <c r="U67" s="668"/>
      <c r="V67" s="668"/>
      <c r="W67" s="668"/>
      <c r="X67" s="668"/>
      <c r="Y67" s="668"/>
      <c r="Z67" s="668"/>
      <c r="AA67" s="668"/>
      <c r="AB67" s="668"/>
      <c r="AC67" s="668"/>
      <c r="AD67" s="668"/>
      <c r="AE67" s="668"/>
      <c r="AF67" s="668"/>
      <c r="AG67" s="668"/>
      <c r="AH67" s="668"/>
      <c r="AI67" s="668"/>
      <c r="AJ67" s="668"/>
    </row>
    <row r="68" spans="1:36" s="667" customFormat="1" ht="14.25" customHeight="1" x14ac:dyDescent="0.3">
      <c r="A68" s="720">
        <v>10</v>
      </c>
      <c r="B68" s="651" t="s">
        <v>441</v>
      </c>
      <c r="C68" s="652"/>
      <c r="D68" s="625"/>
      <c r="E68" s="653"/>
      <c r="F68" s="625"/>
      <c r="G68" s="626">
        <f>ROUND(SUBTOTAL(9,G69),-3)</f>
        <v>0</v>
      </c>
      <c r="H68" s="627">
        <f>IF(G68="","",G68/$G$6)</f>
        <v>0</v>
      </c>
      <c r="I68" s="626">
        <f>982*40</f>
        <v>39280</v>
      </c>
      <c r="J68" s="628">
        <f>G68-I68</f>
        <v>-39280</v>
      </c>
      <c r="K68" s="645"/>
      <c r="L68" s="664"/>
      <c r="M68" s="664"/>
      <c r="N68" s="735"/>
      <c r="O68" s="666"/>
      <c r="P68" s="665"/>
      <c r="U68" s="668"/>
      <c r="V68" s="668"/>
      <c r="W68" s="668"/>
      <c r="X68" s="668"/>
      <c r="Y68" s="668"/>
      <c r="Z68" s="668"/>
      <c r="AA68" s="668"/>
      <c r="AB68" s="668"/>
      <c r="AC68" s="668"/>
      <c r="AD68" s="668"/>
      <c r="AE68" s="668"/>
      <c r="AF68" s="668"/>
      <c r="AG68" s="668"/>
      <c r="AH68" s="668"/>
      <c r="AI68" s="668"/>
      <c r="AJ68" s="668"/>
    </row>
    <row r="69" spans="1:36" s="488" customFormat="1" ht="12" x14ac:dyDescent="0.3">
      <c r="A69" s="721">
        <v>10.1</v>
      </c>
      <c r="B69" s="1337"/>
      <c r="C69" s="1338"/>
      <c r="D69" s="625"/>
      <c r="E69" s="638" t="s">
        <v>158</v>
      </c>
      <c r="F69" s="625"/>
      <c r="G69" s="634">
        <f>D69*F69</f>
        <v>0</v>
      </c>
      <c r="H69" s="748">
        <f>IF(G69="","",G69/$G$6)</f>
        <v>0</v>
      </c>
      <c r="I69" s="636"/>
      <c r="J69" s="637"/>
      <c r="K69" s="645"/>
      <c r="L69" s="643"/>
      <c r="M69" s="643"/>
      <c r="N69" s="592"/>
      <c r="O69" s="630"/>
      <c r="U69" s="466"/>
      <c r="V69" s="466"/>
      <c r="W69" s="466"/>
      <c r="X69" s="466"/>
      <c r="Y69" s="466"/>
      <c r="Z69" s="466"/>
      <c r="AA69" s="466"/>
      <c r="AB69" s="466"/>
      <c r="AC69" s="466"/>
      <c r="AD69" s="466"/>
      <c r="AE69" s="466"/>
      <c r="AF69" s="466"/>
      <c r="AG69" s="466"/>
      <c r="AH69" s="466"/>
      <c r="AI69" s="466"/>
      <c r="AJ69" s="466"/>
    </row>
    <row r="70" spans="1:36" s="488" customFormat="1" ht="14.25" customHeight="1" x14ac:dyDescent="0.3">
      <c r="A70" s="719"/>
      <c r="B70" s="662"/>
      <c r="C70" s="652"/>
      <c r="D70" s="625"/>
      <c r="E70" s="648"/>
      <c r="F70" s="625"/>
      <c r="G70" s="634"/>
      <c r="H70" s="635"/>
      <c r="I70" s="636"/>
      <c r="J70" s="637"/>
      <c r="K70" s="645"/>
      <c r="L70" s="658"/>
      <c r="M70" s="658"/>
      <c r="N70" s="733"/>
      <c r="O70" s="630"/>
      <c r="P70" s="630"/>
      <c r="U70" s="466"/>
      <c r="V70" s="466"/>
      <c r="W70" s="466"/>
      <c r="X70" s="466"/>
      <c r="Y70" s="466"/>
      <c r="Z70" s="466"/>
      <c r="AA70" s="466"/>
      <c r="AB70" s="466"/>
      <c r="AC70" s="466"/>
      <c r="AD70" s="466"/>
      <c r="AE70" s="466"/>
      <c r="AF70" s="466"/>
      <c r="AG70" s="466"/>
      <c r="AH70" s="466"/>
      <c r="AI70" s="466"/>
      <c r="AJ70" s="466"/>
    </row>
    <row r="71" spans="1:36" s="488" customFormat="1" ht="14.25" customHeight="1" x14ac:dyDescent="0.3">
      <c r="A71" s="720">
        <v>11</v>
      </c>
      <c r="B71" s="1333" t="s">
        <v>453</v>
      </c>
      <c r="C71" s="1334"/>
      <c r="D71" s="625"/>
      <c r="E71" s="653"/>
      <c r="F71" s="625"/>
      <c r="G71" s="626">
        <f>ROUND(SUBTOTAL(9,G72:G114),-3)</f>
        <v>0</v>
      </c>
      <c r="H71" s="627">
        <f>IF(G71="","",G71/$G$6)</f>
        <v>0</v>
      </c>
      <c r="I71" s="626">
        <f>982*398</f>
        <v>390836</v>
      </c>
      <c r="J71" s="628">
        <f>G71-I71</f>
        <v>-390836</v>
      </c>
      <c r="K71" s="669"/>
      <c r="L71" s="658"/>
      <c r="M71" s="658"/>
      <c r="N71" s="592"/>
      <c r="O71" s="630"/>
      <c r="U71" s="466"/>
      <c r="V71" s="466"/>
      <c r="W71" s="466"/>
      <c r="X71" s="466"/>
      <c r="Y71" s="466"/>
      <c r="Z71" s="466"/>
      <c r="AA71" s="466"/>
      <c r="AB71" s="466"/>
      <c r="AC71" s="466"/>
      <c r="AD71" s="466"/>
      <c r="AE71" s="466"/>
      <c r="AF71" s="466"/>
      <c r="AG71" s="466"/>
      <c r="AH71" s="466"/>
      <c r="AI71" s="466"/>
      <c r="AJ71" s="466"/>
    </row>
    <row r="72" spans="1:36" s="488" customFormat="1" ht="12" x14ac:dyDescent="0.3">
      <c r="A72" s="727">
        <v>11.1</v>
      </c>
      <c r="B72" s="1339" t="s">
        <v>249</v>
      </c>
      <c r="C72" s="1340"/>
      <c r="D72" s="625"/>
      <c r="E72" s="653"/>
      <c r="F72" s="625"/>
      <c r="G72" s="634"/>
      <c r="H72" s="635" t="str">
        <f>IF(G72="","",G72/#REF!)</f>
        <v/>
      </c>
      <c r="I72" s="670"/>
      <c r="J72" s="671"/>
      <c r="K72" s="642"/>
      <c r="M72" s="630"/>
      <c r="N72" s="733"/>
      <c r="O72" s="630"/>
      <c r="P72" s="630"/>
      <c r="U72" s="466"/>
      <c r="V72" s="466"/>
      <c r="W72" s="466"/>
      <c r="X72" s="466"/>
      <c r="Y72" s="466"/>
      <c r="Z72" s="466"/>
      <c r="AA72" s="466"/>
      <c r="AB72" s="466"/>
      <c r="AC72" s="466"/>
      <c r="AD72" s="466"/>
      <c r="AE72" s="466"/>
      <c r="AF72" s="466"/>
      <c r="AG72" s="466"/>
      <c r="AH72" s="466"/>
      <c r="AI72" s="466"/>
      <c r="AJ72" s="466"/>
    </row>
    <row r="73" spans="1:36" s="488" customFormat="1" ht="12" x14ac:dyDescent="0.3">
      <c r="A73" s="719" t="s">
        <v>406</v>
      </c>
      <c r="B73" s="1337"/>
      <c r="C73" s="1338"/>
      <c r="D73" s="625"/>
      <c r="E73" s="653" t="s">
        <v>27</v>
      </c>
      <c r="F73" s="625"/>
      <c r="G73" s="634">
        <f>D73*F73</f>
        <v>0</v>
      </c>
      <c r="H73" s="748">
        <f>IF(G73="","",G73/$G$6)</f>
        <v>0</v>
      </c>
      <c r="I73" s="672"/>
      <c r="J73" s="671"/>
      <c r="K73" s="642"/>
      <c r="L73" s="643"/>
      <c r="M73" s="643"/>
      <c r="N73" s="592"/>
      <c r="O73" s="630"/>
      <c r="U73" s="466"/>
      <c r="V73" s="466"/>
      <c r="W73" s="466"/>
      <c r="X73" s="466"/>
      <c r="Y73" s="466"/>
      <c r="Z73" s="466"/>
      <c r="AA73" s="466"/>
      <c r="AB73" s="466"/>
      <c r="AC73" s="466"/>
      <c r="AD73" s="466"/>
      <c r="AE73" s="466"/>
      <c r="AF73" s="466"/>
      <c r="AG73" s="466"/>
      <c r="AH73" s="466"/>
      <c r="AI73" s="466"/>
      <c r="AJ73" s="466"/>
    </row>
    <row r="74" spans="1:36" s="488" customFormat="1" ht="12" x14ac:dyDescent="0.3">
      <c r="A74" s="719" t="s">
        <v>407</v>
      </c>
      <c r="B74" s="1337"/>
      <c r="C74" s="1338"/>
      <c r="D74" s="625"/>
      <c r="E74" s="653" t="s">
        <v>158</v>
      </c>
      <c r="F74" s="625"/>
      <c r="G74" s="634">
        <f t="shared" ref="G74:G109" si="3">D74*F74</f>
        <v>0</v>
      </c>
      <c r="H74" s="748">
        <f>IF(G74="","",G74/$G$6)</f>
        <v>0</v>
      </c>
      <c r="I74" s="636"/>
      <c r="J74" s="637"/>
      <c r="K74" s="642"/>
      <c r="L74" s="673"/>
      <c r="M74" s="674"/>
      <c r="N74" s="592"/>
      <c r="O74" s="630"/>
      <c r="U74" s="466"/>
      <c r="V74" s="466"/>
      <c r="W74" s="466"/>
      <c r="X74" s="466"/>
      <c r="Y74" s="466"/>
      <c r="Z74" s="466"/>
      <c r="AA74" s="466"/>
      <c r="AB74" s="466"/>
      <c r="AC74" s="466"/>
      <c r="AD74" s="466"/>
      <c r="AE74" s="466"/>
      <c r="AF74" s="466"/>
      <c r="AG74" s="466"/>
      <c r="AH74" s="466"/>
      <c r="AI74" s="466"/>
      <c r="AJ74" s="466"/>
    </row>
    <row r="75" spans="1:36" s="488" customFormat="1" ht="12" customHeight="1" x14ac:dyDescent="0.3">
      <c r="A75" s="719" t="s">
        <v>408</v>
      </c>
      <c r="B75" s="1337"/>
      <c r="C75" s="1338"/>
      <c r="D75" s="625"/>
      <c r="E75" s="653" t="s">
        <v>155</v>
      </c>
      <c r="F75" s="625"/>
      <c r="G75" s="634">
        <f t="shared" si="3"/>
        <v>0</v>
      </c>
      <c r="H75" s="748">
        <f>IF(G75="","",G75/$G$6)</f>
        <v>0</v>
      </c>
      <c r="I75" s="670"/>
      <c r="J75" s="671"/>
      <c r="K75" s="642"/>
      <c r="L75" s="673"/>
      <c r="M75" s="674"/>
      <c r="N75" s="592"/>
      <c r="O75" s="630"/>
      <c r="U75" s="466"/>
      <c r="V75" s="466"/>
      <c r="W75" s="466"/>
      <c r="X75" s="466"/>
      <c r="Y75" s="466"/>
      <c r="Z75" s="466"/>
      <c r="AA75" s="466"/>
      <c r="AB75" s="466"/>
      <c r="AC75" s="466"/>
      <c r="AD75" s="466"/>
      <c r="AE75" s="466"/>
      <c r="AF75" s="466"/>
      <c r="AG75" s="466"/>
      <c r="AH75" s="466"/>
      <c r="AI75" s="466"/>
      <c r="AJ75" s="466"/>
    </row>
    <row r="76" spans="1:36" s="488" customFormat="1" ht="12" x14ac:dyDescent="0.3">
      <c r="A76" s="719" t="s">
        <v>409</v>
      </c>
      <c r="B76" s="1337"/>
      <c r="C76" s="1338"/>
      <c r="D76" s="625"/>
      <c r="E76" s="653" t="s">
        <v>331</v>
      </c>
      <c r="F76" s="625"/>
      <c r="G76" s="634">
        <f t="shared" si="3"/>
        <v>0</v>
      </c>
      <c r="H76" s="748">
        <f>IF(G76="","",G76/$G$6)</f>
        <v>0</v>
      </c>
      <c r="I76" s="672"/>
      <c r="J76" s="671"/>
      <c r="K76" s="645"/>
      <c r="L76" s="673"/>
      <c r="M76" s="674"/>
      <c r="N76" s="592"/>
      <c r="O76" s="630"/>
      <c r="U76" s="466"/>
      <c r="V76" s="466"/>
      <c r="W76" s="466"/>
      <c r="X76" s="466"/>
      <c r="Y76" s="466"/>
      <c r="Z76" s="466"/>
      <c r="AA76" s="466"/>
      <c r="AB76" s="466"/>
      <c r="AC76" s="466"/>
      <c r="AD76" s="466"/>
      <c r="AE76" s="466"/>
      <c r="AF76" s="466"/>
      <c r="AG76" s="466"/>
      <c r="AH76" s="466"/>
      <c r="AI76" s="466"/>
      <c r="AJ76" s="466"/>
    </row>
    <row r="77" spans="1:36" s="488" customFormat="1" ht="12" customHeight="1" x14ac:dyDescent="0.3">
      <c r="A77" s="727">
        <v>11.2</v>
      </c>
      <c r="B77" s="1339" t="s">
        <v>250</v>
      </c>
      <c r="C77" s="1340"/>
      <c r="D77" s="625"/>
      <c r="E77" s="653"/>
      <c r="F77" s="625"/>
      <c r="G77" s="634"/>
      <c r="H77" s="635"/>
      <c r="I77" s="672"/>
      <c r="J77" s="671"/>
      <c r="K77" s="642"/>
      <c r="L77" s="673"/>
      <c r="M77" s="674"/>
      <c r="N77" s="592"/>
      <c r="O77" s="630"/>
      <c r="U77" s="466"/>
      <c r="V77" s="466"/>
      <c r="W77" s="466"/>
      <c r="X77" s="466"/>
      <c r="Y77" s="466"/>
      <c r="Z77" s="466"/>
      <c r="AA77" s="466"/>
      <c r="AB77" s="466"/>
      <c r="AC77" s="466"/>
      <c r="AD77" s="466"/>
      <c r="AE77" s="466"/>
      <c r="AF77" s="466"/>
      <c r="AG77" s="466"/>
      <c r="AH77" s="466"/>
      <c r="AI77" s="466"/>
      <c r="AJ77" s="466"/>
    </row>
    <row r="78" spans="1:36" s="488" customFormat="1" ht="12" x14ac:dyDescent="0.3">
      <c r="A78" s="719" t="s">
        <v>410</v>
      </c>
      <c r="B78" s="1337"/>
      <c r="C78" s="1338"/>
      <c r="D78" s="625"/>
      <c r="E78" s="653" t="s">
        <v>158</v>
      </c>
      <c r="F78" s="625"/>
      <c r="G78" s="634">
        <f t="shared" si="3"/>
        <v>0</v>
      </c>
      <c r="H78" s="748">
        <f>IF(G78="","",G78/$G$6)</f>
        <v>0</v>
      </c>
      <c r="I78" s="672"/>
      <c r="J78" s="671"/>
      <c r="K78" s="642"/>
      <c r="L78" s="673"/>
      <c r="M78" s="674"/>
      <c r="N78" s="592"/>
      <c r="O78" s="630"/>
      <c r="U78" s="466"/>
      <c r="V78" s="466"/>
      <c r="W78" s="466"/>
      <c r="X78" s="466"/>
      <c r="Y78" s="466"/>
      <c r="Z78" s="466"/>
      <c r="AA78" s="466"/>
      <c r="AB78" s="466"/>
      <c r="AC78" s="466"/>
      <c r="AD78" s="466"/>
      <c r="AE78" s="466"/>
      <c r="AF78" s="466"/>
      <c r="AG78" s="466"/>
      <c r="AH78" s="466"/>
      <c r="AI78" s="466"/>
      <c r="AJ78" s="466"/>
    </row>
    <row r="79" spans="1:36" s="488" customFormat="1" ht="12" customHeight="1" x14ac:dyDescent="0.3">
      <c r="A79" s="719" t="s">
        <v>411</v>
      </c>
      <c r="B79" s="1337"/>
      <c r="C79" s="1338"/>
      <c r="D79" s="625"/>
      <c r="E79" s="653" t="s">
        <v>154</v>
      </c>
      <c r="F79" s="625"/>
      <c r="G79" s="634">
        <f t="shared" si="3"/>
        <v>0</v>
      </c>
      <c r="H79" s="748">
        <f>IF(G79="","",G79/$G$6)</f>
        <v>0</v>
      </c>
      <c r="I79" s="672"/>
      <c r="J79" s="671"/>
      <c r="K79" s="642"/>
      <c r="L79" s="673"/>
      <c r="M79" s="674"/>
      <c r="N79" s="592"/>
      <c r="O79" s="630"/>
      <c r="U79" s="466"/>
      <c r="V79" s="466"/>
      <c r="W79" s="466"/>
      <c r="X79" s="466"/>
      <c r="Y79" s="466"/>
      <c r="Z79" s="466"/>
      <c r="AA79" s="466"/>
      <c r="AB79" s="466"/>
      <c r="AC79" s="466"/>
      <c r="AD79" s="466"/>
      <c r="AE79" s="466"/>
      <c r="AF79" s="466"/>
      <c r="AG79" s="466"/>
      <c r="AH79" s="466"/>
      <c r="AI79" s="466"/>
      <c r="AJ79" s="466"/>
    </row>
    <row r="80" spans="1:36" s="488" customFormat="1" ht="12" x14ac:dyDescent="0.3">
      <c r="A80" s="719" t="s">
        <v>412</v>
      </c>
      <c r="B80" s="1337"/>
      <c r="C80" s="1338"/>
      <c r="D80" s="625"/>
      <c r="E80" s="653"/>
      <c r="F80" s="625"/>
      <c r="G80" s="625" t="s">
        <v>156</v>
      </c>
      <c r="H80" s="625" t="s">
        <v>156</v>
      </c>
      <c r="I80" s="672"/>
      <c r="J80" s="671"/>
      <c r="K80" s="645"/>
      <c r="L80" s="673"/>
      <c r="M80" s="674"/>
      <c r="N80" s="592"/>
      <c r="O80" s="630"/>
      <c r="U80" s="466"/>
      <c r="V80" s="466"/>
      <c r="W80" s="466"/>
      <c r="X80" s="466"/>
      <c r="Y80" s="466"/>
      <c r="Z80" s="466"/>
      <c r="AA80" s="466"/>
      <c r="AB80" s="466"/>
      <c r="AC80" s="466"/>
      <c r="AD80" s="466"/>
      <c r="AE80" s="466"/>
      <c r="AF80" s="466"/>
      <c r="AG80" s="466"/>
      <c r="AH80" s="466"/>
      <c r="AI80" s="466"/>
      <c r="AJ80" s="466"/>
    </row>
    <row r="81" spans="1:36" s="488" customFormat="1" ht="12" customHeight="1" x14ac:dyDescent="0.3">
      <c r="A81" s="727">
        <v>11.3</v>
      </c>
      <c r="B81" s="1339" t="s">
        <v>256</v>
      </c>
      <c r="C81" s="1340"/>
      <c r="D81" s="625"/>
      <c r="E81" s="653"/>
      <c r="F81" s="625"/>
      <c r="G81" s="634"/>
      <c r="H81" s="635" t="str">
        <f>IF(G81="","",G81/#REF!)</f>
        <v/>
      </c>
      <c r="I81" s="672"/>
      <c r="J81" s="671"/>
      <c r="K81" s="642"/>
      <c r="L81" s="673"/>
      <c r="M81" s="674"/>
      <c r="N81" s="592"/>
      <c r="O81" s="630"/>
      <c r="U81" s="466"/>
      <c r="V81" s="466"/>
      <c r="W81" s="466"/>
      <c r="X81" s="466"/>
      <c r="Y81" s="466"/>
      <c r="Z81" s="466"/>
      <c r="AA81" s="466"/>
      <c r="AB81" s="466"/>
      <c r="AC81" s="466"/>
      <c r="AD81" s="466"/>
      <c r="AE81" s="466"/>
      <c r="AF81" s="466"/>
      <c r="AG81" s="466"/>
      <c r="AH81" s="466"/>
      <c r="AI81" s="466"/>
      <c r="AJ81" s="466"/>
    </row>
    <row r="82" spans="1:36" s="488" customFormat="1" ht="12" customHeight="1" x14ac:dyDescent="0.3">
      <c r="A82" s="719" t="s">
        <v>417</v>
      </c>
      <c r="B82" s="1337"/>
      <c r="C82" s="1338"/>
      <c r="D82" s="625"/>
      <c r="E82" s="653" t="s">
        <v>158</v>
      </c>
      <c r="F82" s="625"/>
      <c r="G82" s="634">
        <f t="shared" si="3"/>
        <v>0</v>
      </c>
      <c r="H82" s="748">
        <f>IF(G82="","",G82/$G$6)</f>
        <v>0</v>
      </c>
      <c r="I82" s="672"/>
      <c r="J82" s="671"/>
      <c r="K82" s="642"/>
      <c r="L82" s="673"/>
      <c r="M82" s="674"/>
      <c r="N82" s="592"/>
      <c r="O82" s="630"/>
      <c r="U82" s="466"/>
      <c r="V82" s="466"/>
      <c r="W82" s="466"/>
      <c r="X82" s="466"/>
      <c r="Y82" s="466"/>
      <c r="Z82" s="466"/>
      <c r="AA82" s="466"/>
      <c r="AB82" s="466"/>
      <c r="AC82" s="466"/>
      <c r="AD82" s="466"/>
      <c r="AE82" s="466"/>
      <c r="AF82" s="466"/>
      <c r="AG82" s="466"/>
      <c r="AH82" s="466"/>
      <c r="AI82" s="466"/>
      <c r="AJ82" s="466"/>
    </row>
    <row r="83" spans="1:36" s="488" customFormat="1" ht="12" x14ac:dyDescent="0.3">
      <c r="A83" s="719" t="s">
        <v>418</v>
      </c>
      <c r="B83" s="1337"/>
      <c r="C83" s="1338"/>
      <c r="D83" s="625"/>
      <c r="E83" s="653" t="s">
        <v>158</v>
      </c>
      <c r="F83" s="625"/>
      <c r="G83" s="634">
        <f t="shared" si="3"/>
        <v>0</v>
      </c>
      <c r="H83" s="748">
        <f>IF(G83="","",G83/$G$6)</f>
        <v>0</v>
      </c>
      <c r="I83" s="672"/>
      <c r="J83" s="671"/>
      <c r="K83" s="642"/>
      <c r="L83" s="673"/>
      <c r="M83" s="674"/>
      <c r="N83" s="592"/>
      <c r="O83" s="630"/>
      <c r="U83" s="466"/>
      <c r="V83" s="466"/>
      <c r="W83" s="466"/>
      <c r="X83" s="466"/>
      <c r="Y83" s="466"/>
      <c r="Z83" s="466"/>
      <c r="AA83" s="466"/>
      <c r="AB83" s="466"/>
      <c r="AC83" s="466"/>
      <c r="AD83" s="466"/>
      <c r="AE83" s="466"/>
      <c r="AF83" s="466"/>
      <c r="AG83" s="466"/>
      <c r="AH83" s="466"/>
      <c r="AI83" s="466"/>
      <c r="AJ83" s="466"/>
    </row>
    <row r="84" spans="1:36" s="488" customFormat="1" ht="12" customHeight="1" x14ac:dyDescent="0.3">
      <c r="A84" s="719" t="s">
        <v>419</v>
      </c>
      <c r="B84" s="1337"/>
      <c r="C84" s="1338"/>
      <c r="D84" s="625"/>
      <c r="E84" s="653" t="s">
        <v>158</v>
      </c>
      <c r="F84" s="625"/>
      <c r="G84" s="634">
        <f t="shared" si="3"/>
        <v>0</v>
      </c>
      <c r="H84" s="748">
        <f>IF(G84="","",G84/$G$6)</f>
        <v>0</v>
      </c>
      <c r="I84" s="672"/>
      <c r="J84" s="671"/>
      <c r="K84" s="642"/>
      <c r="L84" s="673"/>
      <c r="M84" s="674"/>
      <c r="N84" s="592"/>
      <c r="O84" s="630"/>
      <c r="U84" s="466"/>
      <c r="V84" s="466"/>
      <c r="W84" s="466"/>
      <c r="X84" s="466"/>
      <c r="Y84" s="466"/>
      <c r="Z84" s="466"/>
      <c r="AA84" s="466"/>
      <c r="AB84" s="466"/>
      <c r="AC84" s="466"/>
      <c r="AD84" s="466"/>
      <c r="AE84" s="466"/>
      <c r="AF84" s="466"/>
      <c r="AG84" s="466"/>
      <c r="AH84" s="466"/>
      <c r="AI84" s="466"/>
      <c r="AJ84" s="466"/>
    </row>
    <row r="85" spans="1:36" s="488" customFormat="1" ht="12" customHeight="1" x14ac:dyDescent="0.3">
      <c r="A85" s="719" t="s">
        <v>420</v>
      </c>
      <c r="B85" s="1337"/>
      <c r="C85" s="1338"/>
      <c r="D85" s="625"/>
      <c r="E85" s="653"/>
      <c r="F85" s="625"/>
      <c r="G85" s="625" t="s">
        <v>156</v>
      </c>
      <c r="H85" s="625" t="s">
        <v>156</v>
      </c>
      <c r="I85" s="672"/>
      <c r="J85" s="671"/>
      <c r="K85" s="642"/>
      <c r="L85" s="673"/>
      <c r="M85" s="674"/>
      <c r="N85" s="592"/>
      <c r="O85" s="630"/>
      <c r="U85" s="466"/>
      <c r="V85" s="466"/>
      <c r="W85" s="466"/>
      <c r="X85" s="466"/>
      <c r="Y85" s="466"/>
      <c r="Z85" s="466"/>
      <c r="AA85" s="466"/>
      <c r="AB85" s="466"/>
      <c r="AC85" s="466"/>
      <c r="AD85" s="466"/>
      <c r="AE85" s="466"/>
      <c r="AF85" s="466"/>
      <c r="AG85" s="466"/>
      <c r="AH85" s="466"/>
      <c r="AI85" s="466"/>
      <c r="AJ85" s="466"/>
    </row>
    <row r="86" spans="1:36" s="488" customFormat="1" ht="12" customHeight="1" x14ac:dyDescent="0.3">
      <c r="A86" s="719" t="s">
        <v>444</v>
      </c>
      <c r="B86" s="1337"/>
      <c r="C86" s="1338"/>
      <c r="D86" s="625"/>
      <c r="E86" s="653" t="s">
        <v>158</v>
      </c>
      <c r="F86" s="625"/>
      <c r="G86" s="634">
        <f t="shared" si="3"/>
        <v>0</v>
      </c>
      <c r="H86" s="748">
        <f>IF(G86="","",G86/$G$6)</f>
        <v>0</v>
      </c>
      <c r="I86" s="672"/>
      <c r="J86" s="671"/>
      <c r="K86" s="642"/>
      <c r="L86" s="673"/>
      <c r="M86" s="674"/>
      <c r="N86" s="592"/>
      <c r="O86" s="630"/>
      <c r="U86" s="466"/>
      <c r="V86" s="466"/>
      <c r="W86" s="466"/>
      <c r="X86" s="466"/>
      <c r="Y86" s="466"/>
      <c r="Z86" s="466"/>
      <c r="AA86" s="466"/>
      <c r="AB86" s="466"/>
      <c r="AC86" s="466"/>
      <c r="AD86" s="466"/>
      <c r="AE86" s="466"/>
      <c r="AF86" s="466"/>
      <c r="AG86" s="466"/>
      <c r="AH86" s="466"/>
      <c r="AI86" s="466"/>
      <c r="AJ86" s="466"/>
    </row>
    <row r="87" spans="1:36" s="488" customFormat="1" ht="12" x14ac:dyDescent="0.3">
      <c r="A87" s="719" t="s">
        <v>421</v>
      </c>
      <c r="B87" s="1337"/>
      <c r="C87" s="1338"/>
      <c r="D87" s="625"/>
      <c r="E87" s="653" t="s">
        <v>158</v>
      </c>
      <c r="F87" s="625"/>
      <c r="G87" s="634">
        <f t="shared" si="3"/>
        <v>0</v>
      </c>
      <c r="H87" s="748">
        <f>IF(G87="","",G87/$G$6)</f>
        <v>0</v>
      </c>
      <c r="I87" s="672"/>
      <c r="J87" s="671"/>
      <c r="K87" s="642"/>
      <c r="L87" s="673"/>
      <c r="M87" s="674"/>
      <c r="N87" s="592"/>
      <c r="O87" s="630"/>
      <c r="U87" s="466"/>
      <c r="V87" s="466"/>
      <c r="W87" s="466"/>
      <c r="X87" s="466"/>
      <c r="Y87" s="466"/>
      <c r="Z87" s="466"/>
      <c r="AA87" s="466"/>
      <c r="AB87" s="466"/>
      <c r="AC87" s="466"/>
      <c r="AD87" s="466"/>
      <c r="AE87" s="466"/>
      <c r="AF87" s="466"/>
      <c r="AG87" s="466"/>
      <c r="AH87" s="466"/>
      <c r="AI87" s="466"/>
      <c r="AJ87" s="466"/>
    </row>
    <row r="88" spans="1:36" s="488" customFormat="1" ht="12" x14ac:dyDescent="0.3">
      <c r="A88" s="719" t="s">
        <v>422</v>
      </c>
      <c r="B88" s="1337"/>
      <c r="C88" s="1338"/>
      <c r="D88" s="625"/>
      <c r="E88" s="653" t="s">
        <v>158</v>
      </c>
      <c r="F88" s="625"/>
      <c r="G88" s="634">
        <f t="shared" si="3"/>
        <v>0</v>
      </c>
      <c r="H88" s="748">
        <f>IF(G88="","",G88/$G$6)</f>
        <v>0</v>
      </c>
      <c r="I88" s="672"/>
      <c r="J88" s="671"/>
      <c r="K88" s="642"/>
      <c r="L88" s="673"/>
      <c r="M88" s="674"/>
      <c r="N88" s="592"/>
      <c r="O88" s="630"/>
      <c r="U88" s="466"/>
      <c r="V88" s="466"/>
      <c r="W88" s="466"/>
      <c r="X88" s="466"/>
      <c r="Y88" s="466"/>
      <c r="Z88" s="466"/>
      <c r="AA88" s="466"/>
      <c r="AB88" s="466"/>
      <c r="AC88" s="466"/>
      <c r="AD88" s="466"/>
      <c r="AE88" s="466"/>
      <c r="AF88" s="466"/>
      <c r="AG88" s="466"/>
      <c r="AH88" s="466"/>
      <c r="AI88" s="466"/>
      <c r="AJ88" s="466"/>
    </row>
    <row r="89" spans="1:36" s="488" customFormat="1" ht="12" customHeight="1" x14ac:dyDescent="0.3">
      <c r="A89" s="727">
        <v>11.4</v>
      </c>
      <c r="B89" s="1339" t="s">
        <v>260</v>
      </c>
      <c r="C89" s="1340"/>
      <c r="D89" s="625"/>
      <c r="E89" s="653"/>
      <c r="F89" s="625"/>
      <c r="G89" s="634"/>
      <c r="H89" s="635" t="str">
        <f>IF(G89="","",G89/#REF!)</f>
        <v/>
      </c>
      <c r="I89" s="672"/>
      <c r="J89" s="671"/>
      <c r="K89" s="642"/>
      <c r="L89" s="673"/>
      <c r="M89" s="674"/>
      <c r="N89" s="592"/>
      <c r="O89" s="630"/>
      <c r="U89" s="466"/>
      <c r="V89" s="466"/>
      <c r="W89" s="466"/>
      <c r="X89" s="466"/>
      <c r="Y89" s="466"/>
      <c r="Z89" s="466"/>
      <c r="AA89" s="466"/>
      <c r="AB89" s="466"/>
      <c r="AC89" s="466"/>
      <c r="AD89" s="466"/>
      <c r="AE89" s="466"/>
      <c r="AF89" s="466"/>
      <c r="AG89" s="466"/>
      <c r="AH89" s="466"/>
      <c r="AI89" s="466"/>
      <c r="AJ89" s="466"/>
    </row>
    <row r="90" spans="1:36" s="488" customFormat="1" ht="12" customHeight="1" x14ac:dyDescent="0.3">
      <c r="A90" s="719" t="s">
        <v>423</v>
      </c>
      <c r="B90" s="1337"/>
      <c r="C90" s="1338"/>
      <c r="D90" s="625"/>
      <c r="E90" s="653" t="s">
        <v>27</v>
      </c>
      <c r="F90" s="625"/>
      <c r="G90" s="634">
        <f t="shared" si="3"/>
        <v>0</v>
      </c>
      <c r="H90" s="748">
        <f t="shared" ref="H90:H98" si="4">IF(G90="","",G90/$G$6)</f>
        <v>0</v>
      </c>
      <c r="I90" s="672"/>
      <c r="J90" s="671"/>
      <c r="K90" s="642"/>
      <c r="L90" s="673"/>
      <c r="M90" s="674"/>
      <c r="N90" s="592"/>
      <c r="O90" s="630"/>
      <c r="U90" s="466"/>
      <c r="V90" s="466"/>
      <c r="W90" s="466"/>
      <c r="X90" s="466"/>
      <c r="Y90" s="466"/>
      <c r="Z90" s="466"/>
      <c r="AA90" s="466"/>
      <c r="AB90" s="466"/>
      <c r="AC90" s="466"/>
      <c r="AD90" s="466"/>
      <c r="AE90" s="466"/>
      <c r="AF90" s="466"/>
      <c r="AG90" s="466"/>
      <c r="AH90" s="466"/>
      <c r="AI90" s="466"/>
      <c r="AJ90" s="466"/>
    </row>
    <row r="91" spans="1:36" s="488" customFormat="1" ht="12" customHeight="1" x14ac:dyDescent="0.3">
      <c r="A91" s="719" t="s">
        <v>445</v>
      </c>
      <c r="B91" s="1337"/>
      <c r="C91" s="1338"/>
      <c r="D91" s="625"/>
      <c r="E91" s="653" t="s">
        <v>27</v>
      </c>
      <c r="F91" s="625"/>
      <c r="G91" s="634">
        <f t="shared" si="3"/>
        <v>0</v>
      </c>
      <c r="H91" s="748">
        <f t="shared" si="4"/>
        <v>0</v>
      </c>
      <c r="I91" s="672"/>
      <c r="J91" s="671"/>
      <c r="K91" s="642"/>
      <c r="L91" s="673"/>
      <c r="M91" s="674"/>
      <c r="N91" s="592"/>
      <c r="O91" s="630"/>
      <c r="U91" s="466"/>
      <c r="V91" s="466"/>
      <c r="W91" s="466"/>
      <c r="X91" s="466"/>
      <c r="Y91" s="466"/>
      <c r="Z91" s="466"/>
      <c r="AA91" s="466"/>
      <c r="AB91" s="466"/>
      <c r="AC91" s="466"/>
      <c r="AD91" s="466"/>
      <c r="AE91" s="466"/>
      <c r="AF91" s="466"/>
      <c r="AG91" s="466"/>
      <c r="AH91" s="466"/>
      <c r="AI91" s="466"/>
      <c r="AJ91" s="466"/>
    </row>
    <row r="92" spans="1:36" s="488" customFormat="1" ht="12" customHeight="1" x14ac:dyDescent="0.3">
      <c r="A92" s="719" t="s">
        <v>424</v>
      </c>
      <c r="B92" s="1337"/>
      <c r="C92" s="1338"/>
      <c r="D92" s="625"/>
      <c r="E92" s="653" t="s">
        <v>27</v>
      </c>
      <c r="F92" s="625"/>
      <c r="G92" s="634">
        <f t="shared" si="3"/>
        <v>0</v>
      </c>
      <c r="H92" s="748">
        <f t="shared" si="4"/>
        <v>0</v>
      </c>
      <c r="I92" s="672"/>
      <c r="J92" s="671"/>
      <c r="K92" s="642"/>
      <c r="L92" s="673"/>
      <c r="M92" s="674"/>
      <c r="N92" s="592"/>
      <c r="O92" s="630"/>
      <c r="U92" s="466"/>
      <c r="V92" s="466"/>
      <c r="W92" s="466"/>
      <c r="X92" s="466"/>
      <c r="Y92" s="466"/>
      <c r="Z92" s="466"/>
      <c r="AA92" s="466"/>
      <c r="AB92" s="466"/>
      <c r="AC92" s="466"/>
      <c r="AD92" s="466"/>
      <c r="AE92" s="466"/>
      <c r="AF92" s="466"/>
      <c r="AG92" s="466"/>
      <c r="AH92" s="466"/>
      <c r="AI92" s="466"/>
      <c r="AJ92" s="466"/>
    </row>
    <row r="93" spans="1:36" s="488" customFormat="1" ht="12" customHeight="1" x14ac:dyDescent="0.3">
      <c r="A93" s="719" t="s">
        <v>425</v>
      </c>
      <c r="B93" s="1337"/>
      <c r="C93" s="1338"/>
      <c r="D93" s="625"/>
      <c r="E93" s="653" t="s">
        <v>155</v>
      </c>
      <c r="F93" s="625"/>
      <c r="G93" s="634">
        <f t="shared" si="3"/>
        <v>0</v>
      </c>
      <c r="H93" s="748">
        <f t="shared" si="4"/>
        <v>0</v>
      </c>
      <c r="I93" s="672"/>
      <c r="J93" s="671"/>
      <c r="K93" s="642"/>
      <c r="L93" s="673"/>
      <c r="M93" s="674"/>
      <c r="N93" s="592"/>
      <c r="O93" s="630"/>
      <c r="U93" s="466"/>
      <c r="V93" s="466"/>
      <c r="W93" s="466"/>
      <c r="X93" s="466"/>
      <c r="Y93" s="466"/>
      <c r="Z93" s="466"/>
      <c r="AA93" s="466"/>
      <c r="AB93" s="466"/>
      <c r="AC93" s="466"/>
      <c r="AD93" s="466"/>
      <c r="AE93" s="466"/>
      <c r="AF93" s="466"/>
      <c r="AG93" s="466"/>
      <c r="AH93" s="466"/>
      <c r="AI93" s="466"/>
      <c r="AJ93" s="466"/>
    </row>
    <row r="94" spans="1:36" s="488" customFormat="1" ht="12" customHeight="1" x14ac:dyDescent="0.3">
      <c r="A94" s="719" t="s">
        <v>426</v>
      </c>
      <c r="B94" s="1337"/>
      <c r="C94" s="1338"/>
      <c r="D94" s="625"/>
      <c r="E94" s="653" t="s">
        <v>27</v>
      </c>
      <c r="F94" s="625"/>
      <c r="G94" s="634">
        <f t="shared" si="3"/>
        <v>0</v>
      </c>
      <c r="H94" s="748">
        <f t="shared" si="4"/>
        <v>0</v>
      </c>
      <c r="I94" s="672"/>
      <c r="J94" s="671"/>
      <c r="K94" s="642"/>
      <c r="L94" s="673"/>
      <c r="M94" s="674"/>
      <c r="N94" s="592"/>
      <c r="O94" s="630"/>
      <c r="U94" s="466"/>
      <c r="V94" s="466"/>
      <c r="W94" s="466"/>
      <c r="X94" s="466"/>
      <c r="Y94" s="466"/>
      <c r="Z94" s="466"/>
      <c r="AA94" s="466"/>
      <c r="AB94" s="466"/>
      <c r="AC94" s="466"/>
      <c r="AD94" s="466"/>
      <c r="AE94" s="466"/>
      <c r="AF94" s="466"/>
      <c r="AG94" s="466"/>
      <c r="AH94" s="466"/>
      <c r="AI94" s="466"/>
      <c r="AJ94" s="466"/>
    </row>
    <row r="95" spans="1:36" s="488" customFormat="1" ht="12" x14ac:dyDescent="0.3">
      <c r="A95" s="719" t="s">
        <v>427</v>
      </c>
      <c r="B95" s="1337"/>
      <c r="C95" s="1338"/>
      <c r="D95" s="625"/>
      <c r="E95" s="653" t="s">
        <v>154</v>
      </c>
      <c r="F95" s="625"/>
      <c r="G95" s="634">
        <f t="shared" si="3"/>
        <v>0</v>
      </c>
      <c r="H95" s="748">
        <f t="shared" si="4"/>
        <v>0</v>
      </c>
      <c r="I95" s="672"/>
      <c r="J95" s="671"/>
      <c r="K95" s="642"/>
      <c r="L95" s="673"/>
      <c r="M95" s="674"/>
      <c r="N95" s="592"/>
      <c r="O95" s="630"/>
      <c r="U95" s="466"/>
      <c r="V95" s="466"/>
      <c r="W95" s="466"/>
      <c r="X95" s="466"/>
      <c r="Y95" s="466"/>
      <c r="Z95" s="466"/>
      <c r="AA95" s="466"/>
      <c r="AB95" s="466"/>
      <c r="AC95" s="466"/>
      <c r="AD95" s="466"/>
      <c r="AE95" s="466"/>
      <c r="AF95" s="466"/>
      <c r="AG95" s="466"/>
      <c r="AH95" s="466"/>
      <c r="AI95" s="466"/>
      <c r="AJ95" s="466"/>
    </row>
    <row r="96" spans="1:36" s="488" customFormat="1" ht="12" customHeight="1" x14ac:dyDescent="0.3">
      <c r="A96" s="719" t="s">
        <v>428</v>
      </c>
      <c r="B96" s="1337"/>
      <c r="C96" s="1338"/>
      <c r="D96" s="625"/>
      <c r="E96" s="653" t="s">
        <v>155</v>
      </c>
      <c r="F96" s="625"/>
      <c r="G96" s="634">
        <f t="shared" si="3"/>
        <v>0</v>
      </c>
      <c r="H96" s="748">
        <f t="shared" si="4"/>
        <v>0</v>
      </c>
      <c r="I96" s="672"/>
      <c r="J96" s="671"/>
      <c r="K96" s="642"/>
      <c r="L96" s="673"/>
      <c r="M96" s="674"/>
      <c r="N96" s="592"/>
      <c r="O96" s="630"/>
      <c r="U96" s="466"/>
      <c r="V96" s="466"/>
      <c r="W96" s="466"/>
      <c r="X96" s="466"/>
      <c r="Y96" s="466"/>
      <c r="Z96" s="466"/>
      <c r="AA96" s="466"/>
      <c r="AB96" s="466"/>
      <c r="AC96" s="466"/>
      <c r="AD96" s="466"/>
      <c r="AE96" s="466"/>
      <c r="AF96" s="466"/>
      <c r="AG96" s="466"/>
      <c r="AH96" s="466"/>
      <c r="AI96" s="466"/>
      <c r="AJ96" s="466"/>
    </row>
    <row r="97" spans="1:36" s="488" customFormat="1" ht="12" customHeight="1" x14ac:dyDescent="0.3">
      <c r="A97" s="719" t="s">
        <v>429</v>
      </c>
      <c r="B97" s="1337"/>
      <c r="C97" s="1338"/>
      <c r="D97" s="625"/>
      <c r="E97" s="653" t="s">
        <v>155</v>
      </c>
      <c r="F97" s="625"/>
      <c r="G97" s="634">
        <f t="shared" si="3"/>
        <v>0</v>
      </c>
      <c r="H97" s="748">
        <f t="shared" si="4"/>
        <v>0</v>
      </c>
      <c r="I97" s="672"/>
      <c r="J97" s="671"/>
      <c r="K97" s="642"/>
      <c r="L97" s="673"/>
      <c r="M97" s="674"/>
      <c r="N97" s="592"/>
      <c r="O97" s="630"/>
      <c r="U97" s="466"/>
      <c r="V97" s="466"/>
      <c r="W97" s="466"/>
      <c r="X97" s="466"/>
      <c r="Y97" s="466"/>
      <c r="Z97" s="466"/>
      <c r="AA97" s="466"/>
      <c r="AB97" s="466"/>
      <c r="AC97" s="466"/>
      <c r="AD97" s="466"/>
      <c r="AE97" s="466"/>
      <c r="AF97" s="466"/>
      <c r="AG97" s="466"/>
      <c r="AH97" s="466"/>
      <c r="AI97" s="466"/>
      <c r="AJ97" s="466"/>
    </row>
    <row r="98" spans="1:36" s="488" customFormat="1" ht="12" customHeight="1" x14ac:dyDescent="0.3">
      <c r="A98" s="719" t="s">
        <v>430</v>
      </c>
      <c r="B98" s="1337"/>
      <c r="C98" s="1338"/>
      <c r="D98" s="625"/>
      <c r="E98" s="653" t="s">
        <v>155</v>
      </c>
      <c r="F98" s="625"/>
      <c r="G98" s="634">
        <f t="shared" si="3"/>
        <v>0</v>
      </c>
      <c r="H98" s="748">
        <f t="shared" si="4"/>
        <v>0</v>
      </c>
      <c r="I98" s="672"/>
      <c r="J98" s="671"/>
      <c r="K98" s="642"/>
      <c r="L98" s="673"/>
      <c r="M98" s="674"/>
      <c r="N98" s="592"/>
      <c r="O98" s="630"/>
      <c r="U98" s="466"/>
      <c r="V98" s="466"/>
      <c r="W98" s="466"/>
      <c r="X98" s="466"/>
      <c r="Y98" s="466"/>
      <c r="Z98" s="466"/>
      <c r="AA98" s="466"/>
      <c r="AB98" s="466"/>
      <c r="AC98" s="466"/>
      <c r="AD98" s="466"/>
      <c r="AE98" s="466"/>
      <c r="AF98" s="466"/>
      <c r="AG98" s="466"/>
      <c r="AH98" s="466"/>
      <c r="AI98" s="466"/>
      <c r="AJ98" s="466"/>
    </row>
    <row r="99" spans="1:36" s="488" customFormat="1" ht="12" x14ac:dyDescent="0.3">
      <c r="A99" s="719" t="s">
        <v>431</v>
      </c>
      <c r="B99" s="1337"/>
      <c r="C99" s="1338"/>
      <c r="D99" s="625"/>
      <c r="E99" s="653"/>
      <c r="F99" s="625"/>
      <c r="G99" s="625" t="s">
        <v>156</v>
      </c>
      <c r="H99" s="625" t="s">
        <v>156</v>
      </c>
      <c r="I99" s="672"/>
      <c r="J99" s="671"/>
      <c r="K99" s="642"/>
      <c r="L99" s="673"/>
      <c r="M99" s="674"/>
      <c r="N99" s="592"/>
      <c r="O99" s="630"/>
      <c r="U99" s="466"/>
      <c r="V99" s="466"/>
      <c r="W99" s="466"/>
      <c r="X99" s="466"/>
      <c r="Y99" s="466"/>
      <c r="Z99" s="466"/>
      <c r="AA99" s="466"/>
      <c r="AB99" s="466"/>
      <c r="AC99" s="466"/>
      <c r="AD99" s="466"/>
      <c r="AE99" s="466"/>
      <c r="AF99" s="466"/>
      <c r="AG99" s="466"/>
      <c r="AH99" s="466"/>
      <c r="AI99" s="466"/>
      <c r="AJ99" s="466"/>
    </row>
    <row r="100" spans="1:36" s="488" customFormat="1" ht="12" x14ac:dyDescent="0.3">
      <c r="A100" s="727">
        <v>11.5</v>
      </c>
      <c r="B100" s="1339" t="s">
        <v>324</v>
      </c>
      <c r="C100" s="1340"/>
      <c r="D100" s="625"/>
      <c r="E100" s="653"/>
      <c r="F100" s="625"/>
      <c r="G100" s="634"/>
      <c r="H100" s="635" t="str">
        <f>IF(G100="","",G100/#REF!)</f>
        <v/>
      </c>
      <c r="I100" s="672"/>
      <c r="J100" s="671"/>
      <c r="K100" s="642"/>
      <c r="L100" s="673"/>
      <c r="M100" s="674"/>
      <c r="N100" s="592"/>
      <c r="O100" s="630"/>
      <c r="U100" s="466"/>
      <c r="V100" s="466"/>
      <c r="W100" s="466"/>
      <c r="X100" s="466"/>
      <c r="Y100" s="466"/>
      <c r="Z100" s="466"/>
      <c r="AA100" s="466"/>
      <c r="AB100" s="466"/>
      <c r="AC100" s="466"/>
      <c r="AD100" s="466"/>
      <c r="AE100" s="466"/>
      <c r="AF100" s="466"/>
      <c r="AG100" s="466"/>
      <c r="AH100" s="466"/>
      <c r="AI100" s="466"/>
      <c r="AJ100" s="466"/>
    </row>
    <row r="101" spans="1:36" s="488" customFormat="1" ht="12" customHeight="1" x14ac:dyDescent="0.3">
      <c r="A101" s="719" t="s">
        <v>432</v>
      </c>
      <c r="B101" s="1337"/>
      <c r="C101" s="1338"/>
      <c r="D101" s="625"/>
      <c r="E101" s="653" t="s">
        <v>158</v>
      </c>
      <c r="F101" s="625"/>
      <c r="G101" s="634">
        <f t="shared" si="3"/>
        <v>0</v>
      </c>
      <c r="H101" s="748">
        <f>IF(G101="","",G101/$G$6)</f>
        <v>0</v>
      </c>
      <c r="I101" s="672"/>
      <c r="J101" s="671"/>
      <c r="K101" s="642"/>
      <c r="L101" s="673"/>
      <c r="M101" s="674"/>
      <c r="N101" s="592"/>
      <c r="O101" s="630"/>
      <c r="U101" s="466"/>
      <c r="V101" s="466"/>
      <c r="W101" s="466"/>
      <c r="X101" s="466"/>
      <c r="Y101" s="466"/>
      <c r="Z101" s="466"/>
      <c r="AA101" s="466"/>
      <c r="AB101" s="466"/>
      <c r="AC101" s="466"/>
      <c r="AD101" s="466"/>
      <c r="AE101" s="466"/>
      <c r="AF101" s="466"/>
      <c r="AG101" s="466"/>
      <c r="AH101" s="466"/>
      <c r="AI101" s="466"/>
      <c r="AJ101" s="466"/>
    </row>
    <row r="102" spans="1:36" s="488" customFormat="1" ht="12" x14ac:dyDescent="0.3">
      <c r="A102" s="727">
        <v>11.6</v>
      </c>
      <c r="B102" s="1339" t="s">
        <v>81</v>
      </c>
      <c r="C102" s="1340"/>
      <c r="D102" s="625"/>
      <c r="E102" s="653"/>
      <c r="F102" s="625"/>
      <c r="G102" s="625" t="s">
        <v>156</v>
      </c>
      <c r="H102" s="625" t="s">
        <v>156</v>
      </c>
      <c r="I102" s="672"/>
      <c r="J102" s="671"/>
      <c r="K102" s="642"/>
      <c r="L102" s="673"/>
      <c r="M102" s="674"/>
      <c r="N102" s="592"/>
      <c r="O102" s="630"/>
      <c r="U102" s="466"/>
      <c r="V102" s="466"/>
      <c r="W102" s="466"/>
      <c r="X102" s="466"/>
      <c r="Y102" s="466"/>
      <c r="Z102" s="466"/>
      <c r="AA102" s="466"/>
      <c r="AB102" s="466"/>
      <c r="AC102" s="466"/>
      <c r="AD102" s="466"/>
      <c r="AE102" s="466"/>
      <c r="AF102" s="466"/>
      <c r="AG102" s="466"/>
      <c r="AH102" s="466"/>
      <c r="AI102" s="466"/>
      <c r="AJ102" s="466"/>
    </row>
    <row r="103" spans="1:36" s="488" customFormat="1" ht="12" customHeight="1" x14ac:dyDescent="0.3">
      <c r="A103" s="727">
        <v>11.7</v>
      </c>
      <c r="B103" s="1339" t="s">
        <v>274</v>
      </c>
      <c r="C103" s="1340"/>
      <c r="D103" s="625"/>
      <c r="E103" s="653"/>
      <c r="F103" s="625"/>
      <c r="G103" s="634"/>
      <c r="H103" s="635" t="str">
        <f>IF(G103="","",G103/#REF!)</f>
        <v/>
      </c>
      <c r="I103" s="672"/>
      <c r="J103" s="671"/>
      <c r="K103" s="642"/>
      <c r="L103" s="673"/>
      <c r="M103" s="674"/>
      <c r="N103" s="592"/>
      <c r="O103" s="630"/>
      <c r="U103" s="466"/>
      <c r="V103" s="466"/>
      <c r="W103" s="466"/>
      <c r="X103" s="466"/>
      <c r="Y103" s="466"/>
      <c r="Z103" s="466"/>
      <c r="AA103" s="466"/>
      <c r="AB103" s="466"/>
      <c r="AC103" s="466"/>
      <c r="AD103" s="466"/>
      <c r="AE103" s="466"/>
      <c r="AF103" s="466"/>
      <c r="AG103" s="466"/>
      <c r="AH103" s="466"/>
      <c r="AI103" s="466"/>
      <c r="AJ103" s="466"/>
    </row>
    <row r="104" spans="1:36" s="488" customFormat="1" ht="12" x14ac:dyDescent="0.3">
      <c r="A104" s="719" t="s">
        <v>433</v>
      </c>
      <c r="B104" s="1337"/>
      <c r="C104" s="1338"/>
      <c r="D104" s="625"/>
      <c r="E104" s="653" t="s">
        <v>27</v>
      </c>
      <c r="F104" s="625"/>
      <c r="G104" s="634">
        <f t="shared" si="3"/>
        <v>0</v>
      </c>
      <c r="H104" s="748">
        <f>IF(G104="","",G104/$G$6)</f>
        <v>0</v>
      </c>
      <c r="I104" s="672"/>
      <c r="J104" s="671"/>
      <c r="K104" s="642"/>
      <c r="L104" s="673"/>
      <c r="M104" s="674"/>
      <c r="N104" s="592"/>
      <c r="O104" s="630"/>
      <c r="U104" s="466"/>
      <c r="V104" s="466"/>
      <c r="W104" s="466"/>
      <c r="X104" s="466"/>
      <c r="Y104" s="466"/>
      <c r="Z104" s="466"/>
      <c r="AA104" s="466"/>
      <c r="AB104" s="466"/>
      <c r="AC104" s="466"/>
      <c r="AD104" s="466"/>
      <c r="AE104" s="466"/>
      <c r="AF104" s="466"/>
      <c r="AG104" s="466"/>
      <c r="AH104" s="466"/>
      <c r="AI104" s="466"/>
      <c r="AJ104" s="466"/>
    </row>
    <row r="105" spans="1:36" s="488" customFormat="1" ht="12" customHeight="1" x14ac:dyDescent="0.3">
      <c r="A105" s="719" t="s">
        <v>435</v>
      </c>
      <c r="B105" s="1337"/>
      <c r="C105" s="1338"/>
      <c r="D105" s="625"/>
      <c r="E105" s="653" t="s">
        <v>27</v>
      </c>
      <c r="F105" s="625"/>
      <c r="G105" s="634">
        <f t="shared" si="3"/>
        <v>0</v>
      </c>
      <c r="H105" s="748">
        <f>IF(G105="","",G105/$G$6)</f>
        <v>0</v>
      </c>
      <c r="I105" s="672"/>
      <c r="J105" s="671"/>
      <c r="K105" s="642"/>
      <c r="L105" s="673"/>
      <c r="M105" s="674"/>
      <c r="N105" s="592"/>
      <c r="O105" s="630"/>
      <c r="U105" s="466"/>
      <c r="V105" s="466"/>
      <c r="W105" s="466"/>
      <c r="X105" s="466"/>
      <c r="Y105" s="466"/>
      <c r="Z105" s="466"/>
      <c r="AA105" s="466"/>
      <c r="AB105" s="466"/>
      <c r="AC105" s="466"/>
      <c r="AD105" s="466"/>
      <c r="AE105" s="466"/>
      <c r="AF105" s="466"/>
      <c r="AG105" s="466"/>
      <c r="AH105" s="466"/>
      <c r="AI105" s="466"/>
      <c r="AJ105" s="466"/>
    </row>
    <row r="106" spans="1:36" s="488" customFormat="1" ht="12" customHeight="1" x14ac:dyDescent="0.3">
      <c r="A106" s="719" t="s">
        <v>434</v>
      </c>
      <c r="B106" s="1337"/>
      <c r="C106" s="1338"/>
      <c r="D106" s="625"/>
      <c r="E106" s="653" t="s">
        <v>158</v>
      </c>
      <c r="F106" s="625"/>
      <c r="G106" s="634">
        <f t="shared" si="3"/>
        <v>0</v>
      </c>
      <c r="H106" s="748">
        <f>IF(G106="","",G106/$G$6)</f>
        <v>0</v>
      </c>
      <c r="I106" s="672"/>
      <c r="J106" s="671"/>
      <c r="K106" s="642"/>
      <c r="L106" s="673"/>
      <c r="M106" s="674"/>
      <c r="N106" s="592"/>
      <c r="O106" s="630"/>
      <c r="U106" s="466"/>
      <c r="V106" s="466"/>
      <c r="W106" s="466"/>
      <c r="X106" s="466"/>
      <c r="Y106" s="466"/>
      <c r="Z106" s="466"/>
      <c r="AA106" s="466"/>
      <c r="AB106" s="466"/>
      <c r="AC106" s="466"/>
      <c r="AD106" s="466"/>
      <c r="AE106" s="466"/>
      <c r="AF106" s="466"/>
      <c r="AG106" s="466"/>
      <c r="AH106" s="466"/>
      <c r="AI106" s="466"/>
      <c r="AJ106" s="466"/>
    </row>
    <row r="107" spans="1:36" s="488" customFormat="1" ht="12" customHeight="1" x14ac:dyDescent="0.3">
      <c r="A107" s="719">
        <v>11.8</v>
      </c>
      <c r="B107" s="1339" t="s">
        <v>279</v>
      </c>
      <c r="C107" s="1340"/>
      <c r="D107" s="625"/>
      <c r="E107" s="653"/>
      <c r="F107" s="625"/>
      <c r="G107" s="634"/>
      <c r="H107" s="748"/>
      <c r="I107" s="672"/>
      <c r="J107" s="671"/>
      <c r="K107" s="642"/>
      <c r="L107" s="673"/>
      <c r="M107" s="674"/>
      <c r="N107" s="592"/>
      <c r="O107" s="630"/>
      <c r="U107" s="466"/>
      <c r="V107" s="466"/>
      <c r="W107" s="466"/>
      <c r="X107" s="466"/>
      <c r="Y107" s="466"/>
      <c r="Z107" s="466"/>
      <c r="AA107" s="466"/>
      <c r="AB107" s="466"/>
      <c r="AC107" s="466"/>
      <c r="AD107" s="466"/>
      <c r="AE107" s="466"/>
      <c r="AF107" s="466"/>
      <c r="AG107" s="466"/>
      <c r="AH107" s="466"/>
      <c r="AI107" s="466"/>
      <c r="AJ107" s="466"/>
    </row>
    <row r="108" spans="1:36" s="488" customFormat="1" ht="12" x14ac:dyDescent="0.3">
      <c r="A108" s="719" t="s">
        <v>414</v>
      </c>
      <c r="B108" s="1337"/>
      <c r="C108" s="1338"/>
      <c r="D108" s="625"/>
      <c r="E108" s="653"/>
      <c r="F108" s="625"/>
      <c r="G108" s="625" t="s">
        <v>156</v>
      </c>
      <c r="H108" s="625" t="s">
        <v>156</v>
      </c>
      <c r="I108" s="672"/>
      <c r="J108" s="671"/>
      <c r="K108" s="645"/>
      <c r="L108" s="673"/>
      <c r="M108" s="674"/>
      <c r="N108" s="592"/>
      <c r="O108" s="630"/>
      <c r="U108" s="466"/>
      <c r="V108" s="466"/>
      <c r="W108" s="466"/>
      <c r="X108" s="466"/>
      <c r="Y108" s="466"/>
      <c r="Z108" s="466"/>
      <c r="AA108" s="466"/>
      <c r="AB108" s="466"/>
      <c r="AC108" s="466"/>
      <c r="AD108" s="466"/>
      <c r="AE108" s="466"/>
      <c r="AF108" s="466"/>
      <c r="AG108" s="466"/>
      <c r="AH108" s="466"/>
      <c r="AI108" s="466"/>
      <c r="AJ108" s="466"/>
    </row>
    <row r="109" spans="1:36" s="488" customFormat="1" ht="12" customHeight="1" x14ac:dyDescent="0.3">
      <c r="A109" s="719" t="s">
        <v>415</v>
      </c>
      <c r="B109" s="1337"/>
      <c r="C109" s="1338"/>
      <c r="D109" s="625"/>
      <c r="E109" s="653" t="s">
        <v>27</v>
      </c>
      <c r="F109" s="625"/>
      <c r="G109" s="634">
        <f t="shared" si="3"/>
        <v>0</v>
      </c>
      <c r="H109" s="748">
        <f>IF(G109="","",G109/$G$6)</f>
        <v>0</v>
      </c>
      <c r="I109" s="672"/>
      <c r="J109" s="671"/>
      <c r="K109" s="642"/>
      <c r="L109" s="675"/>
      <c r="M109" s="674"/>
      <c r="N109" s="592"/>
      <c r="O109" s="630"/>
      <c r="U109" s="466"/>
      <c r="V109" s="466"/>
      <c r="W109" s="466"/>
      <c r="X109" s="466"/>
      <c r="Y109" s="466"/>
      <c r="Z109" s="466"/>
      <c r="AA109" s="466"/>
      <c r="AB109" s="466"/>
      <c r="AC109" s="466"/>
      <c r="AD109" s="466"/>
      <c r="AE109" s="466"/>
      <c r="AF109" s="466"/>
      <c r="AG109" s="466"/>
      <c r="AH109" s="466"/>
      <c r="AI109" s="466"/>
      <c r="AJ109" s="466"/>
    </row>
    <row r="110" spans="1:36" s="488" customFormat="1" ht="12" customHeight="1" x14ac:dyDescent="0.3">
      <c r="A110" s="719" t="s">
        <v>416</v>
      </c>
      <c r="B110" s="1337"/>
      <c r="C110" s="1338"/>
      <c r="D110" s="625"/>
      <c r="E110" s="653" t="s">
        <v>158</v>
      </c>
      <c r="F110" s="625"/>
      <c r="G110" s="634">
        <f>D110*F110</f>
        <v>0</v>
      </c>
      <c r="H110" s="748">
        <f>IF(G110="","",G110/$G$6)</f>
        <v>0</v>
      </c>
      <c r="I110" s="636"/>
      <c r="J110" s="637"/>
      <c r="K110" s="642"/>
      <c r="L110" s="673"/>
      <c r="M110" s="674"/>
      <c r="N110" s="592"/>
      <c r="O110" s="630"/>
      <c r="U110" s="466"/>
      <c r="V110" s="466"/>
      <c r="W110" s="466"/>
      <c r="X110" s="466"/>
      <c r="Y110" s="466"/>
      <c r="Z110" s="466"/>
      <c r="AA110" s="466"/>
      <c r="AB110" s="466"/>
      <c r="AC110" s="466"/>
      <c r="AD110" s="466"/>
      <c r="AE110" s="466"/>
      <c r="AF110" s="466"/>
      <c r="AG110" s="466"/>
      <c r="AH110" s="466"/>
      <c r="AI110" s="466"/>
      <c r="AJ110" s="466"/>
    </row>
    <row r="111" spans="1:36" s="488" customFormat="1" ht="12" x14ac:dyDescent="0.3">
      <c r="A111" s="719" t="s">
        <v>446</v>
      </c>
      <c r="B111" s="1337"/>
      <c r="C111" s="1338"/>
      <c r="D111" s="625"/>
      <c r="E111" s="653" t="s">
        <v>27</v>
      </c>
      <c r="F111" s="625"/>
      <c r="G111" s="634">
        <f>D111*F111</f>
        <v>0</v>
      </c>
      <c r="H111" s="748">
        <f>IF(G111="","",G111/$G$6)</f>
        <v>0</v>
      </c>
      <c r="I111" s="670"/>
      <c r="J111" s="671"/>
      <c r="K111" s="642"/>
      <c r="L111" s="673"/>
      <c r="M111" s="674"/>
      <c r="N111" s="592"/>
      <c r="O111" s="630"/>
      <c r="U111" s="466"/>
      <c r="V111" s="466"/>
      <c r="W111" s="466"/>
      <c r="X111" s="466"/>
      <c r="Y111" s="466"/>
      <c r="Z111" s="466"/>
      <c r="AA111" s="466"/>
      <c r="AB111" s="466"/>
      <c r="AC111" s="466"/>
      <c r="AD111" s="466"/>
      <c r="AE111" s="466"/>
      <c r="AF111" s="466"/>
      <c r="AG111" s="466"/>
      <c r="AH111" s="466"/>
      <c r="AI111" s="466"/>
      <c r="AJ111" s="466"/>
    </row>
    <row r="112" spans="1:36" s="488" customFormat="1" ht="12" customHeight="1" x14ac:dyDescent="0.3">
      <c r="A112" s="727">
        <v>11.9</v>
      </c>
      <c r="B112" s="1339" t="s">
        <v>284</v>
      </c>
      <c r="C112" s="1340"/>
      <c r="D112" s="625"/>
      <c r="E112" s="653"/>
      <c r="F112" s="625"/>
      <c r="G112" s="634"/>
      <c r="H112" s="635" t="str">
        <f>IF(G112="","",G112/#REF!)</f>
        <v/>
      </c>
      <c r="I112" s="636"/>
      <c r="J112" s="637"/>
      <c r="K112" s="642"/>
      <c r="L112" s="643"/>
      <c r="M112" s="674"/>
      <c r="N112" s="592"/>
      <c r="O112" s="630"/>
      <c r="U112" s="466"/>
      <c r="V112" s="466"/>
      <c r="W112" s="466"/>
      <c r="X112" s="466"/>
      <c r="Y112" s="466"/>
      <c r="Z112" s="466"/>
      <c r="AA112" s="466"/>
      <c r="AB112" s="466"/>
      <c r="AC112" s="466"/>
      <c r="AD112" s="466"/>
      <c r="AE112" s="466"/>
      <c r="AF112" s="466"/>
      <c r="AG112" s="466"/>
      <c r="AH112" s="466"/>
      <c r="AI112" s="466"/>
      <c r="AJ112" s="466"/>
    </row>
    <row r="113" spans="1:36" s="488" customFormat="1" ht="14.25" customHeight="1" x14ac:dyDescent="0.3">
      <c r="A113" s="719" t="s">
        <v>413</v>
      </c>
      <c r="B113" s="1337"/>
      <c r="C113" s="1338"/>
      <c r="D113" s="625"/>
      <c r="E113" s="653" t="s">
        <v>27</v>
      </c>
      <c r="F113" s="625"/>
      <c r="G113" s="634">
        <f>D113*F113</f>
        <v>0</v>
      </c>
      <c r="H113" s="748">
        <f>IF(G113="","",G113/$G$6)</f>
        <v>0</v>
      </c>
      <c r="I113" s="636"/>
      <c r="J113" s="637"/>
      <c r="K113" s="642"/>
      <c r="L113" s="673"/>
      <c r="M113" s="674"/>
      <c r="N113" s="592"/>
      <c r="O113" s="630"/>
      <c r="U113" s="466"/>
      <c r="V113" s="466"/>
      <c r="W113" s="466"/>
      <c r="X113" s="466"/>
      <c r="Y113" s="466"/>
      <c r="Z113" s="466"/>
      <c r="AA113" s="466"/>
      <c r="AB113" s="466"/>
      <c r="AC113" s="466"/>
      <c r="AD113" s="466"/>
      <c r="AE113" s="466"/>
      <c r="AF113" s="466"/>
      <c r="AG113" s="466"/>
      <c r="AH113" s="466"/>
      <c r="AI113" s="466"/>
      <c r="AJ113" s="466"/>
    </row>
    <row r="114" spans="1:36" s="488" customFormat="1" ht="12" customHeight="1" x14ac:dyDescent="0.3">
      <c r="A114" s="728">
        <v>11.1</v>
      </c>
      <c r="B114" s="1339" t="s">
        <v>211</v>
      </c>
      <c r="C114" s="1340"/>
      <c r="D114" s="625">
        <v>10</v>
      </c>
      <c r="E114" s="653" t="s">
        <v>59</v>
      </c>
      <c r="F114" s="625"/>
      <c r="G114" s="634">
        <f>ROUND(D114*F114/100,0)</f>
        <v>0</v>
      </c>
      <c r="H114" s="748">
        <f>IF(G114="","",G114/$G$6)</f>
        <v>0</v>
      </c>
      <c r="I114" s="636"/>
      <c r="J114" s="637"/>
      <c r="K114" s="642"/>
      <c r="L114" s="643"/>
      <c r="M114" s="674"/>
      <c r="N114" s="592"/>
      <c r="O114" s="630"/>
      <c r="U114" s="466"/>
      <c r="V114" s="466"/>
      <c r="W114" s="466"/>
      <c r="X114" s="466"/>
      <c r="Y114" s="466"/>
      <c r="Z114" s="466"/>
      <c r="AA114" s="466"/>
      <c r="AB114" s="466"/>
      <c r="AC114" s="466"/>
      <c r="AD114" s="466"/>
      <c r="AE114" s="466"/>
      <c r="AF114" s="466"/>
      <c r="AG114" s="466"/>
      <c r="AH114" s="466"/>
      <c r="AI114" s="466"/>
      <c r="AJ114" s="466"/>
    </row>
    <row r="115" spans="1:36" s="488" customFormat="1" ht="11.5" x14ac:dyDescent="0.3">
      <c r="A115" s="719"/>
      <c r="B115" s="651"/>
      <c r="C115" s="652"/>
      <c r="D115" s="625"/>
      <c r="E115" s="653"/>
      <c r="F115" s="625"/>
      <c r="G115" s="626"/>
      <c r="H115" s="627"/>
      <c r="I115" s="626"/>
      <c r="J115" s="628"/>
      <c r="K115" s="642"/>
      <c r="L115" s="643"/>
      <c r="M115" s="643"/>
      <c r="N115" s="733"/>
      <c r="O115" s="630"/>
      <c r="P115" s="630"/>
      <c r="U115" s="466"/>
      <c r="V115" s="466"/>
      <c r="W115" s="466"/>
      <c r="X115" s="466"/>
      <c r="Y115" s="466"/>
      <c r="Z115" s="466"/>
      <c r="AA115" s="466"/>
      <c r="AB115" s="466"/>
      <c r="AC115" s="466"/>
      <c r="AD115" s="466"/>
      <c r="AE115" s="466"/>
      <c r="AF115" s="466"/>
      <c r="AG115" s="466"/>
      <c r="AH115" s="466"/>
      <c r="AI115" s="466"/>
      <c r="AJ115" s="466"/>
    </row>
    <row r="116" spans="1:36" s="488" customFormat="1" ht="14.25" customHeight="1" x14ac:dyDescent="0.3">
      <c r="A116" s="720">
        <v>12</v>
      </c>
      <c r="B116" s="1333" t="s">
        <v>442</v>
      </c>
      <c r="C116" s="1334"/>
      <c r="D116" s="625"/>
      <c r="E116" s="653"/>
      <c r="F116" s="625"/>
      <c r="G116" s="626">
        <f>SUBTOTAL(9,G117:G121)</f>
        <v>0</v>
      </c>
      <c r="H116" s="627">
        <f t="shared" ref="H116:H121" si="5">IF(G116="","",G116/$G$6)</f>
        <v>0</v>
      </c>
      <c r="I116" s="626">
        <f>982*60</f>
        <v>58920</v>
      </c>
      <c r="J116" s="628">
        <f>G116-I116</f>
        <v>-58920</v>
      </c>
      <c r="K116" s="642"/>
      <c r="L116" s="643"/>
      <c r="M116" s="643"/>
      <c r="N116" s="592"/>
      <c r="O116" s="630"/>
      <c r="U116" s="466"/>
      <c r="V116" s="466"/>
      <c r="W116" s="466"/>
      <c r="X116" s="466"/>
      <c r="Y116" s="466"/>
      <c r="Z116" s="466"/>
      <c r="AA116" s="466"/>
      <c r="AB116" s="466"/>
      <c r="AC116" s="466"/>
      <c r="AD116" s="466"/>
      <c r="AE116" s="466"/>
      <c r="AF116" s="466"/>
      <c r="AG116" s="466"/>
      <c r="AH116" s="466"/>
      <c r="AI116" s="466"/>
      <c r="AJ116" s="466"/>
    </row>
    <row r="117" spans="1:36" s="488" customFormat="1" ht="12.75" customHeight="1" x14ac:dyDescent="0.3">
      <c r="A117" s="719">
        <v>12.1</v>
      </c>
      <c r="B117" s="1335"/>
      <c r="C117" s="1336"/>
      <c r="D117" s="663"/>
      <c r="E117" s="638" t="s">
        <v>158</v>
      </c>
      <c r="F117" s="663"/>
      <c r="G117" s="678">
        <f>D117*F117</f>
        <v>0</v>
      </c>
      <c r="H117" s="748">
        <f t="shared" si="5"/>
        <v>0</v>
      </c>
      <c r="I117" s="679"/>
      <c r="J117" s="637"/>
      <c r="K117" s="661"/>
      <c r="L117" s="643"/>
      <c r="M117" s="643"/>
      <c r="N117" s="733"/>
      <c r="O117" s="630"/>
      <c r="P117" s="630"/>
      <c r="U117" s="466"/>
      <c r="V117" s="466"/>
      <c r="W117" s="466"/>
      <c r="X117" s="466"/>
      <c r="Y117" s="466"/>
      <c r="Z117" s="466"/>
      <c r="AA117" s="466"/>
      <c r="AB117" s="466"/>
      <c r="AC117" s="466"/>
      <c r="AD117" s="466"/>
      <c r="AE117" s="466"/>
      <c r="AF117" s="466"/>
      <c r="AG117" s="466"/>
      <c r="AH117" s="466"/>
      <c r="AI117" s="466"/>
      <c r="AJ117" s="466"/>
    </row>
    <row r="118" spans="1:36" s="667" customFormat="1" ht="12.75" customHeight="1" x14ac:dyDescent="0.3">
      <c r="A118" s="719">
        <v>12.2</v>
      </c>
      <c r="B118" s="1335"/>
      <c r="C118" s="1336"/>
      <c r="D118" s="663"/>
      <c r="E118" s="638" t="s">
        <v>158</v>
      </c>
      <c r="F118" s="663"/>
      <c r="G118" s="678">
        <f>D118*F118</f>
        <v>0</v>
      </c>
      <c r="H118" s="748">
        <f t="shared" si="5"/>
        <v>0</v>
      </c>
      <c r="I118" s="679"/>
      <c r="J118" s="637"/>
      <c r="K118" s="661"/>
      <c r="L118" s="664"/>
      <c r="M118" s="664"/>
      <c r="N118" s="735"/>
      <c r="O118" s="666"/>
      <c r="P118" s="665"/>
      <c r="Q118" s="665"/>
      <c r="R118" s="665"/>
      <c r="S118" s="665"/>
      <c r="T118" s="665"/>
      <c r="U118" s="676"/>
      <c r="V118" s="676"/>
      <c r="W118" s="676"/>
      <c r="X118" s="668"/>
      <c r="Y118" s="668"/>
      <c r="Z118" s="668"/>
      <c r="AA118" s="668"/>
      <c r="AB118" s="668"/>
      <c r="AC118" s="668"/>
      <c r="AD118" s="668"/>
      <c r="AE118" s="668"/>
      <c r="AF118" s="668"/>
      <c r="AG118" s="668"/>
      <c r="AH118" s="668"/>
      <c r="AI118" s="668"/>
      <c r="AJ118" s="668"/>
    </row>
    <row r="119" spans="1:36" s="667" customFormat="1" ht="12.75" customHeight="1" x14ac:dyDescent="0.3">
      <c r="A119" s="719">
        <v>12.3</v>
      </c>
      <c r="B119" s="1335"/>
      <c r="C119" s="1336"/>
      <c r="D119" s="663"/>
      <c r="E119" s="638" t="s">
        <v>158</v>
      </c>
      <c r="F119" s="663"/>
      <c r="G119" s="678">
        <f>D119*F119</f>
        <v>0</v>
      </c>
      <c r="H119" s="748">
        <f t="shared" si="5"/>
        <v>0</v>
      </c>
      <c r="I119" s="679"/>
      <c r="J119" s="637"/>
      <c r="K119" s="661"/>
      <c r="L119" s="664"/>
      <c r="M119" s="664"/>
      <c r="N119" s="735"/>
      <c r="O119" s="666"/>
      <c r="P119" s="665"/>
      <c r="Q119" s="665"/>
      <c r="R119" s="665"/>
      <c r="S119" s="665"/>
      <c r="T119" s="665"/>
      <c r="U119" s="676"/>
      <c r="V119" s="676"/>
      <c r="W119" s="676"/>
      <c r="X119" s="668"/>
      <c r="Y119" s="668"/>
      <c r="Z119" s="668"/>
      <c r="AA119" s="668"/>
      <c r="AB119" s="668"/>
      <c r="AC119" s="668"/>
      <c r="AD119" s="668"/>
      <c r="AE119" s="668"/>
      <c r="AF119" s="668"/>
      <c r="AG119" s="668"/>
      <c r="AH119" s="668"/>
      <c r="AI119" s="668"/>
      <c r="AJ119" s="668"/>
    </row>
    <row r="120" spans="1:36" s="667" customFormat="1" ht="12.75" customHeight="1" x14ac:dyDescent="0.3">
      <c r="A120" s="719">
        <v>12.4</v>
      </c>
      <c r="B120" s="1335"/>
      <c r="C120" s="1336"/>
      <c r="D120" s="663"/>
      <c r="E120" s="638" t="s">
        <v>158</v>
      </c>
      <c r="F120" s="663"/>
      <c r="G120" s="678">
        <f>D120*F120</f>
        <v>0</v>
      </c>
      <c r="H120" s="748">
        <f t="shared" si="5"/>
        <v>0</v>
      </c>
      <c r="I120" s="679"/>
      <c r="J120" s="637"/>
      <c r="K120" s="661"/>
      <c r="L120" s="664"/>
      <c r="M120" s="664"/>
      <c r="N120" s="735"/>
      <c r="O120" s="666"/>
      <c r="P120" s="665"/>
      <c r="Q120" s="665"/>
      <c r="R120" s="665"/>
      <c r="S120" s="665"/>
      <c r="T120" s="665"/>
      <c r="U120" s="676"/>
      <c r="V120" s="676"/>
      <c r="W120" s="676"/>
      <c r="X120" s="668"/>
      <c r="Y120" s="668"/>
      <c r="Z120" s="668"/>
      <c r="AA120" s="668"/>
      <c r="AB120" s="668"/>
      <c r="AC120" s="668"/>
      <c r="AD120" s="668"/>
      <c r="AE120" s="668"/>
      <c r="AF120" s="668"/>
      <c r="AG120" s="668"/>
      <c r="AH120" s="668"/>
      <c r="AI120" s="668"/>
      <c r="AJ120" s="668"/>
    </row>
    <row r="121" spans="1:36" s="667" customFormat="1" ht="25.5" customHeight="1" x14ac:dyDescent="0.3">
      <c r="A121" s="719">
        <v>12.5</v>
      </c>
      <c r="B121" s="1353"/>
      <c r="C121" s="1354"/>
      <c r="D121" s="663"/>
      <c r="E121" s="677" t="s">
        <v>158</v>
      </c>
      <c r="F121" s="663"/>
      <c r="G121" s="678">
        <f>D121*F121</f>
        <v>0</v>
      </c>
      <c r="H121" s="748">
        <f t="shared" si="5"/>
        <v>0</v>
      </c>
      <c r="I121" s="679"/>
      <c r="J121" s="637"/>
      <c r="K121" s="661"/>
      <c r="L121" s="664"/>
      <c r="M121" s="664"/>
      <c r="N121" s="735"/>
      <c r="O121" s="666"/>
      <c r="P121" s="665"/>
      <c r="Q121" s="665"/>
      <c r="R121" s="665"/>
      <c r="S121" s="665"/>
      <c r="T121" s="665"/>
      <c r="U121" s="676"/>
      <c r="V121" s="676"/>
      <c r="W121" s="676"/>
      <c r="X121" s="668"/>
      <c r="Y121" s="668"/>
      <c r="Z121" s="668"/>
      <c r="AA121" s="668"/>
      <c r="AB121" s="668"/>
      <c r="AC121" s="668"/>
      <c r="AD121" s="668"/>
      <c r="AE121" s="668"/>
      <c r="AF121" s="668"/>
      <c r="AG121" s="668"/>
      <c r="AH121" s="668"/>
      <c r="AI121" s="668"/>
      <c r="AJ121" s="668"/>
    </row>
    <row r="122" spans="1:36" s="667" customFormat="1" ht="12" x14ac:dyDescent="0.3">
      <c r="A122" s="719"/>
      <c r="B122" s="754"/>
      <c r="C122" s="755"/>
      <c r="D122" s="756"/>
      <c r="E122" s="757"/>
      <c r="F122" s="756"/>
      <c r="G122" s="758"/>
      <c r="H122" s="759"/>
      <c r="I122" s="760"/>
      <c r="J122" s="671"/>
      <c r="K122" s="761"/>
      <c r="L122" s="664"/>
      <c r="M122" s="664"/>
      <c r="N122" s="735"/>
      <c r="O122" s="666"/>
      <c r="P122" s="665"/>
      <c r="Q122" s="665"/>
      <c r="R122" s="665"/>
      <c r="S122" s="665"/>
      <c r="T122" s="665"/>
      <c r="U122" s="676"/>
      <c r="V122" s="676"/>
      <c r="W122" s="676"/>
      <c r="X122" s="668"/>
      <c r="Y122" s="668"/>
      <c r="Z122" s="668"/>
      <c r="AA122" s="668"/>
      <c r="AB122" s="668"/>
      <c r="AC122" s="668"/>
      <c r="AD122" s="668"/>
      <c r="AE122" s="668"/>
      <c r="AF122" s="668"/>
      <c r="AG122" s="668"/>
      <c r="AH122" s="668"/>
      <c r="AI122" s="668"/>
      <c r="AJ122" s="668"/>
    </row>
    <row r="123" spans="1:36" s="488" customFormat="1" ht="14.25" customHeight="1" x14ac:dyDescent="0.3">
      <c r="A123" s="720">
        <v>13</v>
      </c>
      <c r="B123" s="1333" t="s">
        <v>454</v>
      </c>
      <c r="C123" s="1334"/>
      <c r="D123" s="625"/>
      <c r="E123" s="653"/>
      <c r="F123" s="625"/>
      <c r="G123" s="626">
        <f>SUBTOTAL(9,G124:G126)</f>
        <v>0</v>
      </c>
      <c r="H123" s="627">
        <f>IF(G123="","",G123/$G$6)</f>
        <v>0</v>
      </c>
      <c r="I123" s="626">
        <f>982*60</f>
        <v>58920</v>
      </c>
      <c r="J123" s="628">
        <f>G123-I123</f>
        <v>-58920</v>
      </c>
      <c r="K123" s="642"/>
      <c r="L123" s="643"/>
      <c r="M123" s="643"/>
      <c r="N123" s="592"/>
      <c r="O123" s="630"/>
      <c r="U123" s="466"/>
      <c r="V123" s="466"/>
      <c r="W123" s="466"/>
      <c r="X123" s="466"/>
      <c r="Y123" s="466"/>
      <c r="Z123" s="466"/>
      <c r="AA123" s="466"/>
      <c r="AB123" s="466"/>
      <c r="AC123" s="466"/>
      <c r="AD123" s="466"/>
      <c r="AE123" s="466"/>
      <c r="AF123" s="466"/>
      <c r="AG123" s="466"/>
      <c r="AH123" s="466"/>
      <c r="AI123" s="466"/>
      <c r="AJ123" s="466"/>
    </row>
    <row r="124" spans="1:36" s="488" customFormat="1" ht="12.75" customHeight="1" x14ac:dyDescent="0.3">
      <c r="A124" s="719">
        <v>13.1</v>
      </c>
      <c r="B124" s="1335"/>
      <c r="C124" s="1336"/>
      <c r="D124" s="663"/>
      <c r="E124" s="638" t="s">
        <v>158</v>
      </c>
      <c r="F124" s="663"/>
      <c r="G124" s="678">
        <f>D124*F124</f>
        <v>0</v>
      </c>
      <c r="H124" s="748">
        <f>IF(G124="","",G124/$G$6)</f>
        <v>0</v>
      </c>
      <c r="I124" s="679"/>
      <c r="J124" s="637"/>
      <c r="K124" s="661"/>
      <c r="L124" s="643"/>
      <c r="M124" s="643"/>
      <c r="N124" s="733"/>
      <c r="O124" s="630"/>
      <c r="P124" s="630"/>
      <c r="U124" s="466"/>
      <c r="V124" s="466"/>
      <c r="W124" s="466"/>
      <c r="X124" s="466"/>
      <c r="Y124" s="466"/>
      <c r="Z124" s="466"/>
      <c r="AA124" s="466"/>
      <c r="AB124" s="466"/>
      <c r="AC124" s="466"/>
      <c r="AD124" s="466"/>
      <c r="AE124" s="466"/>
      <c r="AF124" s="466"/>
      <c r="AG124" s="466"/>
      <c r="AH124" s="466"/>
      <c r="AI124" s="466"/>
      <c r="AJ124" s="466"/>
    </row>
    <row r="125" spans="1:36" s="667" customFormat="1" ht="12.75" customHeight="1" x14ac:dyDescent="0.3">
      <c r="A125" s="719">
        <v>13.2</v>
      </c>
      <c r="B125" s="1335"/>
      <c r="C125" s="1336"/>
      <c r="D125" s="663"/>
      <c r="E125" s="638" t="s">
        <v>158</v>
      </c>
      <c r="F125" s="663"/>
      <c r="G125" s="678">
        <f>D125*F125</f>
        <v>0</v>
      </c>
      <c r="H125" s="748">
        <f>IF(G125="","",G125/$G$6)</f>
        <v>0</v>
      </c>
      <c r="I125" s="679"/>
      <c r="J125" s="637"/>
      <c r="K125" s="661"/>
      <c r="L125" s="664"/>
      <c r="M125" s="664"/>
      <c r="N125" s="735"/>
      <c r="O125" s="666"/>
      <c r="P125" s="665"/>
      <c r="Q125" s="665"/>
      <c r="R125" s="665"/>
      <c r="S125" s="665"/>
      <c r="T125" s="665"/>
      <c r="U125" s="676"/>
      <c r="V125" s="676"/>
      <c r="W125" s="676"/>
      <c r="X125" s="668"/>
      <c r="Y125" s="668"/>
      <c r="Z125" s="668"/>
      <c r="AA125" s="668"/>
      <c r="AB125" s="668"/>
      <c r="AC125" s="668"/>
      <c r="AD125" s="668"/>
      <c r="AE125" s="668"/>
      <c r="AF125" s="668"/>
      <c r="AG125" s="668"/>
      <c r="AH125" s="668"/>
      <c r="AI125" s="668"/>
      <c r="AJ125" s="668"/>
    </row>
    <row r="126" spans="1:36" s="667" customFormat="1" ht="12.75" customHeight="1" x14ac:dyDescent="0.3">
      <c r="A126" s="719">
        <v>13.3</v>
      </c>
      <c r="B126" s="1335"/>
      <c r="C126" s="1336"/>
      <c r="D126" s="663"/>
      <c r="E126" s="638" t="s">
        <v>158</v>
      </c>
      <c r="F126" s="663"/>
      <c r="G126" s="678">
        <f>D126*F126</f>
        <v>0</v>
      </c>
      <c r="H126" s="748">
        <f>IF(G126="","",G126/$G$6)</f>
        <v>0</v>
      </c>
      <c r="I126" s="679"/>
      <c r="J126" s="637"/>
      <c r="K126" s="661"/>
      <c r="L126" s="664"/>
      <c r="M126" s="664"/>
      <c r="N126" s="735"/>
      <c r="O126" s="666"/>
      <c r="P126" s="665"/>
      <c r="Q126" s="665"/>
      <c r="R126" s="665"/>
      <c r="S126" s="665"/>
      <c r="T126" s="665"/>
      <c r="U126" s="676"/>
      <c r="V126" s="676"/>
      <c r="W126" s="676"/>
      <c r="X126" s="668"/>
      <c r="Y126" s="668"/>
      <c r="Z126" s="668"/>
      <c r="AA126" s="668"/>
      <c r="AB126" s="668"/>
      <c r="AC126" s="668"/>
      <c r="AD126" s="668"/>
      <c r="AE126" s="668"/>
      <c r="AF126" s="668"/>
      <c r="AG126" s="668"/>
      <c r="AH126" s="668"/>
      <c r="AI126" s="668"/>
      <c r="AJ126" s="668"/>
    </row>
    <row r="127" spans="1:36" s="667" customFormat="1" ht="12" x14ac:dyDescent="0.3">
      <c r="A127" s="719"/>
      <c r="B127" s="754"/>
      <c r="C127" s="755"/>
      <c r="D127" s="756"/>
      <c r="E127" s="757"/>
      <c r="F127" s="756"/>
      <c r="G127" s="758"/>
      <c r="H127" s="748" t="str">
        <f>IF(G127="","",G127/$G$6)</f>
        <v/>
      </c>
      <c r="I127" s="760"/>
      <c r="J127" s="671"/>
      <c r="K127" s="761"/>
      <c r="L127" s="664"/>
      <c r="M127" s="664"/>
      <c r="N127" s="735"/>
      <c r="O127" s="666"/>
      <c r="P127" s="665"/>
      <c r="Q127" s="665"/>
      <c r="R127" s="665"/>
      <c r="S127" s="665"/>
      <c r="T127" s="665"/>
      <c r="U127" s="676"/>
      <c r="V127" s="676"/>
      <c r="W127" s="676"/>
      <c r="X127" s="668"/>
      <c r="Y127" s="668"/>
      <c r="Z127" s="668"/>
      <c r="AA127" s="668"/>
      <c r="AB127" s="668"/>
      <c r="AC127" s="668"/>
      <c r="AD127" s="668"/>
      <c r="AE127" s="668"/>
      <c r="AF127" s="668"/>
      <c r="AG127" s="668"/>
      <c r="AH127" s="668"/>
      <c r="AI127" s="668"/>
      <c r="AJ127" s="668"/>
    </row>
    <row r="128" spans="1:36" ht="11.5" x14ac:dyDescent="0.3">
      <c r="A128" s="719"/>
      <c r="B128" s="686"/>
      <c r="C128" s="687"/>
      <c r="D128" s="688"/>
      <c r="E128" s="689"/>
      <c r="F128" s="688"/>
      <c r="G128" s="690"/>
      <c r="H128" s="691"/>
      <c r="I128" s="691"/>
      <c r="J128" s="692"/>
      <c r="K128" s="693"/>
      <c r="L128" s="643"/>
      <c r="M128" s="646"/>
      <c r="O128" s="630"/>
      <c r="T128" s="683"/>
      <c r="U128" s="684"/>
      <c r="V128" s="685"/>
    </row>
    <row r="129" spans="1:36" ht="11.5" x14ac:dyDescent="0.3">
      <c r="A129" s="716"/>
      <c r="B129" s="716" t="s">
        <v>447</v>
      </c>
      <c r="C129" s="717"/>
      <c r="D129" s="725"/>
      <c r="E129" s="695"/>
      <c r="F129" s="696"/>
      <c r="G129" s="726">
        <f>G10+G18+G22+G31+G37+G42+G53+G61+G68+G71+G116</f>
        <v>0</v>
      </c>
      <c r="H129" s="724">
        <f>G129/$G6</f>
        <v>0</v>
      </c>
      <c r="I129" s="691" t="e">
        <f>I12+I20+I24+#REF!+#REF!+I33+I44+I55+I63+#REF!+#REF!+#REF!+I70+#REF!+I118+#REF!+#REF!+I72</f>
        <v>#REF!</v>
      </c>
      <c r="J129" s="692" t="e">
        <f>J12+J20+J24+#REF!+#REF!+J33+J44+J55+J63+#REF!+#REF!+#REF!+J70+#REF!+J118+#REF!+#REF!+J72</f>
        <v>#REF!</v>
      </c>
      <c r="K129" s="693"/>
      <c r="L129" s="643"/>
      <c r="M129" s="646"/>
      <c r="O129" s="630"/>
      <c r="T129" s="683"/>
      <c r="U129" s="684"/>
      <c r="V129" s="685"/>
    </row>
    <row r="130" spans="1:36" ht="12.75" customHeight="1" x14ac:dyDescent="0.3">
      <c r="A130" s="739"/>
      <c r="B130" s="739" t="s">
        <v>443</v>
      </c>
      <c r="C130" s="740"/>
      <c r="D130" s="725"/>
      <c r="E130" s="695"/>
      <c r="F130" s="696"/>
      <c r="G130" s="726">
        <f>SUM(G129:G129)</f>
        <v>0</v>
      </c>
      <c r="H130" s="741">
        <f>G130/$G6</f>
        <v>0</v>
      </c>
      <c r="I130" s="742"/>
      <c r="J130" s="743"/>
      <c r="K130" s="744"/>
      <c r="L130" s="643"/>
      <c r="M130" s="643"/>
      <c r="O130" s="630"/>
      <c r="T130" s="681"/>
      <c r="U130" s="694"/>
    </row>
    <row r="131" spans="1:36" ht="12" x14ac:dyDescent="0.3">
      <c r="B131" s="697"/>
      <c r="C131" s="697"/>
      <c r="D131" s="698"/>
      <c r="E131" s="699"/>
      <c r="F131" s="698"/>
      <c r="G131" s="700"/>
      <c r="H131" s="701"/>
      <c r="I131" s="702"/>
      <c r="J131" s="703"/>
      <c r="K131" s="704"/>
      <c r="L131" s="643"/>
      <c r="M131" s="643"/>
      <c r="O131" s="630"/>
      <c r="T131" s="681"/>
      <c r="U131" s="694"/>
    </row>
    <row r="132" spans="1:36" ht="12.75" customHeight="1" x14ac:dyDescent="0.3">
      <c r="B132" s="705"/>
      <c r="C132" s="685"/>
      <c r="D132" s="685"/>
      <c r="E132" s="622"/>
      <c r="F132" s="685"/>
      <c r="G132" s="706"/>
      <c r="H132" s="707"/>
      <c r="I132" s="708"/>
      <c r="J132" s="707"/>
      <c r="K132" s="685"/>
      <c r="L132" s="643"/>
      <c r="M132" s="643"/>
      <c r="O132" s="630"/>
      <c r="P132" s="630"/>
    </row>
    <row r="133" spans="1:36" s="704" customFormat="1" ht="12.75" customHeight="1" x14ac:dyDescent="0.3">
      <c r="B133" s="466"/>
      <c r="C133" s="466"/>
      <c r="D133" s="466"/>
      <c r="E133" s="488"/>
      <c r="F133" s="466"/>
      <c r="G133" s="466"/>
      <c r="H133" s="466"/>
      <c r="I133" s="600"/>
      <c r="J133" s="466"/>
      <c r="K133" s="466"/>
      <c r="L133" s="643"/>
      <c r="M133" s="643"/>
      <c r="N133" s="656"/>
      <c r="O133" s="643"/>
      <c r="P133" s="709"/>
      <c r="Q133" s="656"/>
      <c r="R133" s="643"/>
      <c r="S133" s="643"/>
      <c r="T133" s="643"/>
    </row>
    <row r="134" spans="1:36" s="600" customFormat="1" ht="12.75" customHeight="1" x14ac:dyDescent="0.3">
      <c r="B134" s="466"/>
      <c r="C134" s="466"/>
      <c r="D134" s="466"/>
      <c r="E134" s="488"/>
      <c r="F134" s="466"/>
      <c r="G134" s="466"/>
      <c r="H134" s="466"/>
      <c r="J134" s="466"/>
      <c r="K134" s="466"/>
      <c r="L134" s="488"/>
      <c r="M134" s="488"/>
      <c r="N134" s="592"/>
      <c r="O134" s="488"/>
      <c r="P134" s="488"/>
      <c r="Q134" s="488"/>
      <c r="R134" s="488"/>
      <c r="S134" s="488"/>
      <c r="T134" s="488"/>
      <c r="U134" s="466"/>
      <c r="V134" s="466"/>
      <c r="W134" s="466"/>
      <c r="X134" s="466"/>
      <c r="Y134" s="466"/>
      <c r="Z134" s="466"/>
      <c r="AA134" s="466"/>
      <c r="AB134" s="466"/>
      <c r="AC134" s="466"/>
      <c r="AD134" s="466"/>
      <c r="AE134" s="466"/>
      <c r="AF134" s="466"/>
      <c r="AG134" s="466"/>
      <c r="AH134" s="466"/>
      <c r="AI134" s="466"/>
      <c r="AJ134" s="466"/>
    </row>
    <row r="135" spans="1:36" s="600" customFormat="1" ht="12.75" customHeight="1" x14ac:dyDescent="0.3">
      <c r="B135" s="466"/>
      <c r="C135" s="466"/>
      <c r="D135" s="466"/>
      <c r="E135" s="488"/>
      <c r="F135" s="466"/>
      <c r="G135" s="466"/>
      <c r="H135" s="710"/>
      <c r="J135" s="466"/>
      <c r="K135" s="466"/>
      <c r="L135" s="488"/>
      <c r="M135" s="488"/>
      <c r="N135" s="592"/>
      <c r="O135" s="488"/>
      <c r="P135" s="488"/>
      <c r="Q135" s="488"/>
      <c r="R135" s="488"/>
      <c r="S135" s="488"/>
      <c r="T135" s="488"/>
      <c r="U135" s="466"/>
      <c r="V135" s="466"/>
      <c r="W135" s="466"/>
      <c r="X135" s="466"/>
      <c r="Y135" s="466"/>
      <c r="Z135" s="466"/>
      <c r="AA135" s="466"/>
      <c r="AB135" s="466"/>
      <c r="AC135" s="466"/>
      <c r="AD135" s="466"/>
      <c r="AE135" s="466"/>
      <c r="AF135" s="466"/>
      <c r="AG135" s="466"/>
      <c r="AH135" s="466"/>
      <c r="AI135" s="466"/>
      <c r="AJ135" s="466"/>
    </row>
    <row r="136" spans="1:36" s="600" customFormat="1" ht="12.75" customHeight="1" x14ac:dyDescent="0.3">
      <c r="B136" s="466"/>
      <c r="C136" s="466"/>
      <c r="D136" s="466"/>
      <c r="E136" s="488"/>
      <c r="F136" s="466"/>
      <c r="G136" s="466"/>
      <c r="H136" s="710"/>
      <c r="J136" s="466"/>
      <c r="K136" s="466"/>
      <c r="L136" s="488"/>
      <c r="M136" s="488"/>
      <c r="N136" s="592"/>
      <c r="O136" s="488"/>
      <c r="P136" s="488"/>
      <c r="Q136" s="488"/>
      <c r="R136" s="488"/>
      <c r="S136" s="488"/>
      <c r="T136" s="488"/>
      <c r="U136" s="466"/>
      <c r="V136" s="466"/>
      <c r="W136" s="466"/>
      <c r="X136" s="466"/>
      <c r="Y136" s="466"/>
      <c r="Z136" s="466"/>
      <c r="AA136" s="466"/>
      <c r="AB136" s="466"/>
      <c r="AC136" s="466"/>
      <c r="AD136" s="466"/>
      <c r="AE136" s="466"/>
      <c r="AF136" s="466"/>
      <c r="AG136" s="466"/>
      <c r="AH136" s="466"/>
      <c r="AI136" s="466"/>
      <c r="AJ136" s="466"/>
    </row>
    <row r="137" spans="1:36" s="600" customFormat="1" ht="12.75" customHeight="1" x14ac:dyDescent="0.3">
      <c r="B137" s="466"/>
      <c r="C137" s="466"/>
      <c r="D137" s="466"/>
      <c r="E137" s="488"/>
      <c r="F137" s="466"/>
      <c r="G137" s="466"/>
      <c r="H137" s="710"/>
      <c r="J137" s="466"/>
      <c r="K137" s="466"/>
      <c r="L137" s="488"/>
      <c r="M137" s="488"/>
      <c r="N137" s="592"/>
      <c r="O137" s="488"/>
      <c r="P137" s="488"/>
      <c r="Q137" s="488"/>
      <c r="R137" s="488"/>
      <c r="S137" s="488"/>
      <c r="T137" s="488"/>
      <c r="U137" s="466"/>
      <c r="V137" s="466"/>
      <c r="W137" s="466"/>
      <c r="X137" s="466"/>
      <c r="Y137" s="466"/>
      <c r="Z137" s="466"/>
      <c r="AA137" s="466"/>
      <c r="AB137" s="466"/>
      <c r="AC137" s="466"/>
      <c r="AD137" s="466"/>
      <c r="AE137" s="466"/>
      <c r="AF137" s="466"/>
      <c r="AG137" s="466"/>
      <c r="AH137" s="466"/>
      <c r="AI137" s="466"/>
      <c r="AJ137" s="466"/>
    </row>
  </sheetData>
  <sheetProtection selectLockedCells="1"/>
  <customSheetViews>
    <customSheetView guid="{2B0692CF-4177-422C-A620-ABA6158FDE4D}" showPageBreaks="1" showGridLines="0" printArea="1" hiddenColumns="1" state="hidden" view="pageBreakPreview">
      <selection activeCell="K44" sqref="K44"/>
      <pageMargins left="0.47244094488188981" right="0.47244094488188981" top="0.39370078740157483" bottom="0.55118110236220474" header="0.19685039370078741" footer="0.15748031496062992"/>
      <pageSetup paperSize="9" scale="91" firstPageNumber="10" fitToHeight="12" orientation="landscape" cellComments="asDisplayed" useFirstPageNumber="1" r:id="rId1"/>
      <headerFooter alignWithMargins="0">
        <oddFooter>&amp;L&amp;8&amp;Z&amp;F&amp;R&amp;8Page &amp;P</oddFooter>
      </headerFooter>
    </customSheetView>
    <customSheetView guid="{6C33A4D3-AF33-443C-A522-C1A990C51A36}" showPageBreaks="1" showGridLines="0" printArea="1" hiddenColumns="1" state="hidden" view="pageBreakPreview">
      <selection activeCell="K44" sqref="K44"/>
      <pageMargins left="0.47244094488188981" right="0.47244094488188981" top="0.39370078740157483" bottom="0.55118110236220474" header="0.19685039370078741" footer="0.15748031496062992"/>
      <pageSetup paperSize="9" scale="91" firstPageNumber="10" fitToHeight="12" orientation="landscape" cellComments="asDisplayed" useFirstPageNumber="1" r:id="rId2"/>
      <headerFooter alignWithMargins="0">
        <oddFooter>&amp;L&amp;8&amp;Z&amp;F&amp;R&amp;8Page &amp;P</oddFooter>
      </headerFooter>
    </customSheetView>
  </customSheetViews>
  <mergeCells count="110">
    <mergeCell ref="Q1:Q8"/>
    <mergeCell ref="R1:R8"/>
    <mergeCell ref="S1:S8"/>
    <mergeCell ref="O1:O8"/>
    <mergeCell ref="P1:P8"/>
    <mergeCell ref="B49:C49"/>
    <mergeCell ref="B47:C47"/>
    <mergeCell ref="N1:N8"/>
    <mergeCell ref="B121:C121"/>
    <mergeCell ref="B20:C20"/>
    <mergeCell ref="B32:C32"/>
    <mergeCell ref="B33:C33"/>
    <mergeCell ref="B34:C34"/>
    <mergeCell ref="B23:C23"/>
    <mergeCell ref="B24:C24"/>
    <mergeCell ref="B25:C25"/>
    <mergeCell ref="B26:C26"/>
    <mergeCell ref="B27:C27"/>
    <mergeCell ref="B119:C119"/>
    <mergeCell ref="B120:C120"/>
    <mergeCell ref="B117:C117"/>
    <mergeCell ref="B118:C118"/>
    <mergeCell ref="B38:C38"/>
    <mergeCell ref="B39:C39"/>
    <mergeCell ref="B40:C40"/>
    <mergeCell ref="B43:C43"/>
    <mergeCell ref="D4:J5"/>
    <mergeCell ref="D6:F6"/>
    <mergeCell ref="G6:H6"/>
    <mergeCell ref="A4:A7"/>
    <mergeCell ref="B19:C19"/>
    <mergeCell ref="B18:C18"/>
    <mergeCell ref="B10:C10"/>
    <mergeCell ref="B12:C12"/>
    <mergeCell ref="B13:C13"/>
    <mergeCell ref="B14:C14"/>
    <mergeCell ref="B15:C15"/>
    <mergeCell ref="B35:C35"/>
    <mergeCell ref="B22:C22"/>
    <mergeCell ref="B31:C31"/>
    <mergeCell ref="B37:C37"/>
    <mergeCell ref="B42:C42"/>
    <mergeCell ref="B73:C73"/>
    <mergeCell ref="B74:C74"/>
    <mergeCell ref="B75:C75"/>
    <mergeCell ref="B76:C76"/>
    <mergeCell ref="B77:C77"/>
    <mergeCell ref="B63:C63"/>
    <mergeCell ref="B64:C64"/>
    <mergeCell ref="B65:C65"/>
    <mergeCell ref="B66:C66"/>
    <mergeCell ref="B69:C69"/>
    <mergeCell ref="B72:C72"/>
    <mergeCell ref="B83:C83"/>
    <mergeCell ref="B84:C84"/>
    <mergeCell ref="B85:C85"/>
    <mergeCell ref="B86:C86"/>
    <mergeCell ref="B87:C87"/>
    <mergeCell ref="B78:C78"/>
    <mergeCell ref="B79:C79"/>
    <mergeCell ref="B80:C80"/>
    <mergeCell ref="B81:C81"/>
    <mergeCell ref="B82:C82"/>
    <mergeCell ref="B102:C102"/>
    <mergeCell ref="B93:C93"/>
    <mergeCell ref="B94:C94"/>
    <mergeCell ref="B95:C95"/>
    <mergeCell ref="B96:C96"/>
    <mergeCell ref="B97:C97"/>
    <mergeCell ref="B88:C88"/>
    <mergeCell ref="B89:C89"/>
    <mergeCell ref="B90:C90"/>
    <mergeCell ref="B91:C91"/>
    <mergeCell ref="B92:C92"/>
    <mergeCell ref="B53:C53"/>
    <mergeCell ref="B61:C61"/>
    <mergeCell ref="B71:C71"/>
    <mergeCell ref="B50:C50"/>
    <mergeCell ref="B51:C51"/>
    <mergeCell ref="B54:C54"/>
    <mergeCell ref="B55:C55"/>
    <mergeCell ref="B62:C62"/>
    <mergeCell ref="B44:C44"/>
    <mergeCell ref="B45:C45"/>
    <mergeCell ref="B46:C46"/>
    <mergeCell ref="B48:C48"/>
    <mergeCell ref="B123:C123"/>
    <mergeCell ref="B124:C124"/>
    <mergeCell ref="B125:C125"/>
    <mergeCell ref="B126:C126"/>
    <mergeCell ref="B57:C57"/>
    <mergeCell ref="B58:C58"/>
    <mergeCell ref="B59:C59"/>
    <mergeCell ref="B116:C116"/>
    <mergeCell ref="B113:C113"/>
    <mergeCell ref="B114:C114"/>
    <mergeCell ref="B108:C108"/>
    <mergeCell ref="B109:C109"/>
    <mergeCell ref="B110:C110"/>
    <mergeCell ref="B111:C111"/>
    <mergeCell ref="B112:C112"/>
    <mergeCell ref="B103:C103"/>
    <mergeCell ref="B104:C104"/>
    <mergeCell ref="B105:C105"/>
    <mergeCell ref="B106:C106"/>
    <mergeCell ref="B107:C107"/>
    <mergeCell ref="B98:C98"/>
    <mergeCell ref="B99:C99"/>
    <mergeCell ref="B100:C100"/>
    <mergeCell ref="B101:C101"/>
  </mergeCells>
  <dataValidations count="2">
    <dataValidation allowBlank="1" showErrorMessage="1" promptTitle="Cost Plan:" prompt="Enter the Cost Plan element or stage here ie Demolituion and Enabling Works; Category A Fit Out etc" sqref="B4" xr:uid="{00000000-0002-0000-0F00-000000000000}"/>
    <dataValidation allowBlank="1" showInputMessage="1" showErrorMessage="1" promptTitle="Cost Plan:" prompt="Enter the Cost Plan element or stage here ie Demolituion and Enabling Works; Category A Fit Out etc" sqref="C4" xr:uid="{00000000-0002-0000-0F00-000001000000}"/>
  </dataValidations>
  <pageMargins left="0.47244094488188981" right="0.47244094488188981" top="0.39370078740157483" bottom="0.55118110236220474" header="0.19685039370078741" footer="0.15748031496062992"/>
  <pageSetup paperSize="9" scale="91" firstPageNumber="10" fitToHeight="12" orientation="landscape" cellComments="asDisplayed" useFirstPageNumber="1" r:id="rId3"/>
  <headerFooter alignWithMargins="0">
    <oddFooter>&amp;L&amp;8&amp;Z&amp;F&amp;R&amp;8Page &amp;P</oddFooter>
  </headerFooter>
  <drawing r:id="rId4"/>
  <legacyDrawing r:id="rId5"/>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pageSetUpPr fitToPage="1"/>
  </sheetPr>
  <dimension ref="A1:R146"/>
  <sheetViews>
    <sheetView view="pageBreakPreview" zoomScale="85" zoomScaleNormal="100" zoomScaleSheetLayoutView="85" zoomScalePageLayoutView="85" workbookViewId="0">
      <pane ySplit="7" topLeftCell="A8" activePane="bottomLeft" state="frozen"/>
      <selection pane="bottomLeft" activeCell="C1" sqref="C1"/>
    </sheetView>
  </sheetViews>
  <sheetFormatPr defaultColWidth="9" defaultRowHeight="12.75" customHeight="1" x14ac:dyDescent="0.3"/>
  <cols>
    <col min="1" max="1" width="6.1640625" style="466" customWidth="1"/>
    <col min="2" max="2" width="130.58203125" style="466" customWidth="1"/>
    <col min="3" max="3" width="11.58203125" style="488" customWidth="1"/>
    <col min="4" max="7" width="11.58203125" style="466" customWidth="1"/>
    <col min="8" max="8" width="1.5" style="466" customWidth="1"/>
    <col min="9" max="9" width="7.5" style="466" customWidth="1"/>
    <col min="10" max="10" width="4" style="466" customWidth="1"/>
    <col min="11" max="11" width="10.1640625" style="488" customWidth="1"/>
    <col min="12" max="12" width="7.5" style="466" customWidth="1"/>
    <col min="13" max="13" width="7.5" style="485" customWidth="1"/>
    <col min="14" max="14" width="8.08203125" style="466" customWidth="1"/>
    <col min="15" max="15" width="8.5" style="466" customWidth="1"/>
    <col min="16" max="16" width="8.08203125" style="466" customWidth="1"/>
    <col min="17" max="16384" width="9" style="466"/>
  </cols>
  <sheetData>
    <row r="1" spans="1:18" ht="19" x14ac:dyDescent="0.3">
      <c r="A1" s="479" t="e">
        <f>#REF!</f>
        <v>#REF!</v>
      </c>
      <c r="B1" s="482"/>
      <c r="C1" s="483"/>
      <c r="D1" s="482"/>
      <c r="F1" s="484"/>
      <c r="G1" s="480" t="e">
        <f>#REF!</f>
        <v>#REF!</v>
      </c>
      <c r="Q1" s="466">
        <v>650</v>
      </c>
      <c r="R1" s="466" t="s">
        <v>309</v>
      </c>
    </row>
    <row r="2" spans="1:18" s="319" customFormat="1" ht="19" x14ac:dyDescent="0.3">
      <c r="A2" s="481" t="e">
        <f>#REF!</f>
        <v>#REF!</v>
      </c>
      <c r="E2" s="468"/>
      <c r="F2" s="1355"/>
      <c r="G2" s="1356"/>
      <c r="K2" s="478"/>
      <c r="M2" s="486"/>
    </row>
    <row r="3" spans="1:18" s="319" customFormat="1" ht="11.5" x14ac:dyDescent="0.3">
      <c r="A3" s="334"/>
      <c r="E3" s="468"/>
      <c r="K3" s="478"/>
      <c r="M3" s="486"/>
    </row>
    <row r="4" spans="1:18" ht="19" x14ac:dyDescent="0.3">
      <c r="A4" s="487" t="s">
        <v>10</v>
      </c>
      <c r="B4" s="482" t="s">
        <v>382</v>
      </c>
      <c r="K4" s="586" t="s">
        <v>386</v>
      </c>
    </row>
    <row r="5" spans="1:18" ht="9" customHeight="1" thickBot="1" x14ac:dyDescent="0.35">
      <c r="F5" s="489"/>
      <c r="G5" s="489"/>
      <c r="K5" s="593"/>
    </row>
    <row r="6" spans="1:18" ht="12" customHeight="1" x14ac:dyDescent="0.3">
      <c r="A6" s="490" t="s">
        <v>154</v>
      </c>
      <c r="B6" s="491" t="s">
        <v>160</v>
      </c>
      <c r="C6" s="578">
        <v>773</v>
      </c>
      <c r="D6" s="492" t="s">
        <v>27</v>
      </c>
      <c r="E6" s="493">
        <f>C6*10.7639</f>
        <v>8320.4946999999993</v>
      </c>
      <c r="F6" s="493" t="s">
        <v>161</v>
      </c>
      <c r="G6" s="494"/>
      <c r="H6" s="469"/>
      <c r="K6" s="593">
        <v>773</v>
      </c>
    </row>
    <row r="7" spans="1:18" ht="12" customHeight="1" x14ac:dyDescent="0.3">
      <c r="A7" s="495"/>
      <c r="B7" s="496"/>
      <c r="C7" s="497" t="s">
        <v>151</v>
      </c>
      <c r="D7" s="498" t="s">
        <v>152</v>
      </c>
      <c r="E7" s="499" t="s">
        <v>162</v>
      </c>
      <c r="F7" s="499" t="s">
        <v>163</v>
      </c>
      <c r="G7" s="500" t="s">
        <v>164</v>
      </c>
      <c r="H7" s="469"/>
      <c r="K7" s="593"/>
    </row>
    <row r="8" spans="1:18" ht="11.5" x14ac:dyDescent="0.3">
      <c r="A8" s="501"/>
      <c r="B8" s="502"/>
      <c r="C8" s="503"/>
      <c r="D8" s="504"/>
      <c r="E8" s="505"/>
      <c r="F8" s="505"/>
      <c r="G8" s="506"/>
      <c r="H8" s="469"/>
      <c r="K8" s="593"/>
    </row>
    <row r="9" spans="1:18" ht="12" customHeight="1" x14ac:dyDescent="0.3">
      <c r="A9" s="507">
        <v>1</v>
      </c>
      <c r="B9" s="508" t="s">
        <v>233</v>
      </c>
      <c r="C9" s="371"/>
      <c r="D9" s="462"/>
      <c r="E9" s="373"/>
      <c r="F9" s="373"/>
      <c r="G9" s="374"/>
      <c r="H9" s="469"/>
      <c r="K9" s="593"/>
    </row>
    <row r="10" spans="1:18" ht="12" customHeight="1" x14ac:dyDescent="0.3">
      <c r="A10" s="370">
        <v>1.1000000000000001</v>
      </c>
      <c r="B10" s="466" t="s">
        <v>328</v>
      </c>
      <c r="C10" s="371">
        <v>1</v>
      </c>
      <c r="D10" s="462" t="s">
        <v>154</v>
      </c>
      <c r="E10" s="373">
        <v>2500</v>
      </c>
      <c r="F10" s="373">
        <f t="shared" ref="F10:F19" si="0">C10*E10</f>
        <v>2500</v>
      </c>
      <c r="G10" s="374">
        <f t="shared" ref="G10:G17" si="1">+F10/C$6</f>
        <v>3.2341526520051747</v>
      </c>
      <c r="H10" s="469"/>
      <c r="K10" s="593"/>
    </row>
    <row r="11" spans="1:18" ht="25.5" customHeight="1" x14ac:dyDescent="0.3">
      <c r="A11" s="370">
        <v>1.2</v>
      </c>
      <c r="B11" s="380" t="s">
        <v>369</v>
      </c>
      <c r="C11" s="371">
        <v>92</v>
      </c>
      <c r="D11" s="462" t="s">
        <v>153</v>
      </c>
      <c r="E11" s="373">
        <f>525+100+25</f>
        <v>650</v>
      </c>
      <c r="F11" s="373">
        <f t="shared" si="0"/>
        <v>59800</v>
      </c>
      <c r="G11" s="374">
        <f t="shared" si="1"/>
        <v>77.360931435963778</v>
      </c>
      <c r="H11" s="469"/>
      <c r="K11" s="593">
        <v>92.44</v>
      </c>
      <c r="L11" s="534">
        <f>525+100+25</f>
        <v>650</v>
      </c>
      <c r="M11" s="587">
        <v>280</v>
      </c>
      <c r="N11" s="588" t="s">
        <v>387</v>
      </c>
    </row>
    <row r="12" spans="1:18" ht="12" customHeight="1" x14ac:dyDescent="0.3">
      <c r="A12" s="370">
        <v>1.3</v>
      </c>
      <c r="B12" s="502" t="s">
        <v>391</v>
      </c>
      <c r="C12" s="371">
        <v>1</v>
      </c>
      <c r="D12" s="462" t="s">
        <v>154</v>
      </c>
      <c r="E12" s="373">
        <v>45000</v>
      </c>
      <c r="F12" s="373">
        <f t="shared" si="0"/>
        <v>45000</v>
      </c>
      <c r="G12" s="374">
        <f t="shared" si="1"/>
        <v>58.214747736093145</v>
      </c>
      <c r="H12" s="469"/>
      <c r="K12" s="593"/>
    </row>
    <row r="13" spans="1:18" ht="12" customHeight="1" x14ac:dyDescent="0.3">
      <c r="A13" s="370">
        <v>1.4</v>
      </c>
      <c r="B13" s="502" t="s">
        <v>392</v>
      </c>
      <c r="C13" s="371">
        <v>1</v>
      </c>
      <c r="D13" s="462" t="s">
        <v>154</v>
      </c>
      <c r="E13" s="373">
        <v>100000</v>
      </c>
      <c r="F13" s="373">
        <f t="shared" si="0"/>
        <v>100000</v>
      </c>
      <c r="G13" s="374">
        <f t="shared" si="1"/>
        <v>129.36610608020698</v>
      </c>
      <c r="H13" s="469"/>
      <c r="K13" s="593"/>
    </row>
    <row r="14" spans="1:18" ht="12" customHeight="1" x14ac:dyDescent="0.3">
      <c r="A14" s="370">
        <v>1.5</v>
      </c>
      <c r="B14" s="502" t="s">
        <v>329</v>
      </c>
      <c r="C14" s="371">
        <v>1</v>
      </c>
      <c r="D14" s="462" t="s">
        <v>154</v>
      </c>
      <c r="E14" s="373">
        <v>10000</v>
      </c>
      <c r="F14" s="373">
        <f t="shared" si="0"/>
        <v>10000</v>
      </c>
      <c r="G14" s="374">
        <f t="shared" si="1"/>
        <v>12.936610608020699</v>
      </c>
      <c r="H14" s="469"/>
      <c r="K14" s="593"/>
    </row>
    <row r="15" spans="1:18" ht="12" customHeight="1" x14ac:dyDescent="0.3">
      <c r="A15" s="370">
        <v>1.6</v>
      </c>
      <c r="B15" s="502" t="s">
        <v>370</v>
      </c>
      <c r="C15" s="371">
        <v>1</v>
      </c>
      <c r="D15" s="462" t="s">
        <v>154</v>
      </c>
      <c r="E15" s="373">
        <v>35000</v>
      </c>
      <c r="F15" s="373">
        <f t="shared" si="0"/>
        <v>35000</v>
      </c>
      <c r="G15" s="374">
        <f t="shared" si="1"/>
        <v>45.278137128072444</v>
      </c>
      <c r="H15" s="469"/>
      <c r="K15" s="593"/>
    </row>
    <row r="16" spans="1:18" ht="12" customHeight="1" x14ac:dyDescent="0.3">
      <c r="A16" s="370">
        <v>1.7</v>
      </c>
      <c r="B16" s="502" t="s">
        <v>393</v>
      </c>
      <c r="C16" s="371">
        <v>1</v>
      </c>
      <c r="D16" s="462" t="s">
        <v>154</v>
      </c>
      <c r="E16" s="373">
        <v>430000</v>
      </c>
      <c r="F16" s="373">
        <f t="shared" si="0"/>
        <v>430000</v>
      </c>
      <c r="G16" s="374">
        <f t="shared" si="1"/>
        <v>556.27425614489005</v>
      </c>
      <c r="H16" s="469"/>
      <c r="K16" s="593"/>
    </row>
    <row r="17" spans="1:17" ht="12" customHeight="1" x14ac:dyDescent="0.3">
      <c r="A17" s="370">
        <v>1.8</v>
      </c>
      <c r="B17" s="502" t="s">
        <v>340</v>
      </c>
      <c r="C17" s="371">
        <v>1</v>
      </c>
      <c r="D17" s="462" t="s">
        <v>154</v>
      </c>
      <c r="E17" s="373">
        <f>35000+15000</f>
        <v>50000</v>
      </c>
      <c r="F17" s="373">
        <f t="shared" si="0"/>
        <v>50000</v>
      </c>
      <c r="G17" s="374">
        <f t="shared" si="1"/>
        <v>64.683053040103488</v>
      </c>
      <c r="H17" s="469"/>
      <c r="K17" s="593"/>
    </row>
    <row r="18" spans="1:17" ht="12" customHeight="1" x14ac:dyDescent="0.3">
      <c r="A18" s="370">
        <v>1.9</v>
      </c>
      <c r="B18" s="380" t="s">
        <v>360</v>
      </c>
      <c r="C18" s="371">
        <f>K18</f>
        <v>612</v>
      </c>
      <c r="D18" s="372" t="s">
        <v>27</v>
      </c>
      <c r="E18" s="373">
        <v>40</v>
      </c>
      <c r="F18" s="373">
        <f t="shared" si="0"/>
        <v>24480</v>
      </c>
      <c r="G18" s="374">
        <f t="shared" ref="G18:G24" si="2">+F18/C$6</f>
        <v>31.668822768434669</v>
      </c>
      <c r="H18" s="469"/>
      <c r="K18" s="593">
        <f>K19*8.5</f>
        <v>612</v>
      </c>
      <c r="L18" s="466" t="s">
        <v>390</v>
      </c>
    </row>
    <row r="19" spans="1:17" ht="12" customHeight="1" x14ac:dyDescent="0.3">
      <c r="A19" s="390">
        <v>1.1000000000000001</v>
      </c>
      <c r="B19" s="380" t="s">
        <v>341</v>
      </c>
      <c r="C19" s="371">
        <v>72</v>
      </c>
      <c r="D19" s="372" t="s">
        <v>153</v>
      </c>
      <c r="E19" s="373">
        <v>15</v>
      </c>
      <c r="F19" s="373">
        <f t="shared" si="0"/>
        <v>1080</v>
      </c>
      <c r="G19" s="374">
        <f t="shared" si="2"/>
        <v>1.3971539456662354</v>
      </c>
      <c r="H19" s="472"/>
      <c r="K19" s="593">
        <v>72</v>
      </c>
    </row>
    <row r="20" spans="1:17" ht="12" customHeight="1" x14ac:dyDescent="0.3">
      <c r="A20" s="390">
        <v>1.1100000000000001</v>
      </c>
      <c r="B20" s="380" t="s">
        <v>361</v>
      </c>
      <c r="C20" s="371">
        <v>36</v>
      </c>
      <c r="D20" s="372" t="s">
        <v>27</v>
      </c>
      <c r="E20" s="373">
        <v>20</v>
      </c>
      <c r="F20" s="373">
        <f>C20*E20</f>
        <v>720</v>
      </c>
      <c r="G20" s="374">
        <f t="shared" si="2"/>
        <v>0.93143596377749027</v>
      </c>
      <c r="H20" s="469"/>
      <c r="K20" s="593">
        <f>K19*0.5</f>
        <v>36</v>
      </c>
    </row>
    <row r="21" spans="1:17" ht="12" customHeight="1" x14ac:dyDescent="0.3">
      <c r="A21" s="390">
        <v>1.1200000000000001</v>
      </c>
      <c r="B21" s="477" t="s">
        <v>330</v>
      </c>
      <c r="C21" s="371">
        <v>1</v>
      </c>
      <c r="D21" s="372" t="s">
        <v>158</v>
      </c>
      <c r="E21" s="373">
        <f>500+1000+2000+ROUND(8*60/1000*2000,-3)+500</f>
        <v>5000</v>
      </c>
      <c r="F21" s="373">
        <f>C21*E21</f>
        <v>5000</v>
      </c>
      <c r="G21" s="374">
        <f t="shared" si="2"/>
        <v>6.4683053040103493</v>
      </c>
      <c r="H21" s="469"/>
      <c r="K21" s="593"/>
    </row>
    <row r="22" spans="1:17" ht="11.25" customHeight="1" x14ac:dyDescent="0.3">
      <c r="A22" s="390">
        <v>1.1299999999999999</v>
      </c>
      <c r="B22" s="380" t="s">
        <v>342</v>
      </c>
      <c r="C22" s="371">
        <v>1</v>
      </c>
      <c r="D22" s="372" t="s">
        <v>158</v>
      </c>
      <c r="E22" s="373">
        <v>1000</v>
      </c>
      <c r="F22" s="373">
        <f>C22*E22</f>
        <v>1000</v>
      </c>
      <c r="G22" s="374">
        <f t="shared" si="2"/>
        <v>1.2936610608020698</v>
      </c>
      <c r="H22" s="509"/>
      <c r="K22" s="593"/>
      <c r="Q22" s="373"/>
    </row>
    <row r="23" spans="1:17" ht="11.5" x14ac:dyDescent="0.3">
      <c r="A23" s="390">
        <v>1.1399999999999999</v>
      </c>
      <c r="B23" s="380" t="s">
        <v>394</v>
      </c>
      <c r="C23" s="711">
        <v>872</v>
      </c>
      <c r="D23" s="372" t="s">
        <v>27</v>
      </c>
      <c r="E23" s="373">
        <f>15+35</f>
        <v>50</v>
      </c>
      <c r="F23" s="373">
        <f>C23*E23</f>
        <v>43600</v>
      </c>
      <c r="G23" s="374">
        <f t="shared" si="2"/>
        <v>56.403622250970244</v>
      </c>
      <c r="H23" s="509"/>
      <c r="K23" s="593">
        <v>872</v>
      </c>
      <c r="Q23" s="373"/>
    </row>
    <row r="24" spans="1:17" ht="11.25" customHeight="1" x14ac:dyDescent="0.3">
      <c r="A24" s="390">
        <v>1.1499999999999999</v>
      </c>
      <c r="B24" s="380" t="s">
        <v>383</v>
      </c>
      <c r="C24" s="711">
        <v>872</v>
      </c>
      <c r="D24" s="372" t="s">
        <v>27</v>
      </c>
      <c r="E24" s="373">
        <f>10+25+10+25+10</f>
        <v>80</v>
      </c>
      <c r="F24" s="373">
        <f>C24*E24</f>
        <v>69760</v>
      </c>
      <c r="G24" s="374">
        <f t="shared" si="2"/>
        <v>90.245795601552388</v>
      </c>
      <c r="H24" s="509"/>
      <c r="K24" s="593">
        <v>872</v>
      </c>
      <c r="Q24" s="373"/>
    </row>
    <row r="25" spans="1:17" ht="12" customHeight="1" x14ac:dyDescent="0.3">
      <c r="A25" s="512"/>
      <c r="B25" s="511"/>
      <c r="C25" s="371"/>
      <c r="D25" s="462"/>
      <c r="E25" s="373"/>
      <c r="F25" s="373"/>
      <c r="G25" s="374"/>
      <c r="H25" s="469"/>
      <c r="K25" s="593"/>
      <c r="Q25" s="373"/>
    </row>
    <row r="26" spans="1:17" ht="12" customHeight="1" x14ac:dyDescent="0.3">
      <c r="A26" s="513">
        <f>A9</f>
        <v>1</v>
      </c>
      <c r="B26" s="514" t="s">
        <v>169</v>
      </c>
      <c r="C26" s="515"/>
      <c r="D26" s="516"/>
      <c r="E26" s="517"/>
      <c r="F26" s="517">
        <f>SUM(F10:F25)</f>
        <v>877940</v>
      </c>
      <c r="G26" s="518">
        <f>F26/$C$6</f>
        <v>1135.7567917205693</v>
      </c>
      <c r="H26" s="469"/>
      <c r="K26" s="593"/>
      <c r="Q26" s="373"/>
    </row>
    <row r="27" spans="1:17" ht="12" customHeight="1" x14ac:dyDescent="0.3">
      <c r="A27" s="519"/>
      <c r="B27" s="508"/>
      <c r="C27" s="520"/>
      <c r="D27" s="521"/>
      <c r="E27" s="522"/>
      <c r="F27" s="522"/>
      <c r="G27" s="523"/>
      <c r="H27" s="524"/>
      <c r="K27" s="593"/>
      <c r="Q27" s="373"/>
    </row>
    <row r="28" spans="1:17" ht="12" customHeight="1" x14ac:dyDescent="0.3">
      <c r="A28" s="525">
        <v>2</v>
      </c>
      <c r="B28" s="526" t="s">
        <v>234</v>
      </c>
      <c r="C28" s="527"/>
      <c r="D28" s="528"/>
      <c r="E28" s="529"/>
      <c r="F28" s="510"/>
      <c r="G28" s="391"/>
      <c r="H28" s="469"/>
      <c r="K28" s="593"/>
      <c r="Q28" s="373"/>
    </row>
    <row r="29" spans="1:17" ht="14.25" customHeight="1" x14ac:dyDescent="0.3">
      <c r="A29" s="370">
        <v>2.1</v>
      </c>
      <c r="B29" s="380" t="s">
        <v>343</v>
      </c>
      <c r="C29" s="417">
        <f>C6</f>
        <v>773</v>
      </c>
      <c r="D29" s="372" t="s">
        <v>27</v>
      </c>
      <c r="E29" s="373">
        <v>120</v>
      </c>
      <c r="F29" s="373">
        <f>C29*E29</f>
        <v>92760</v>
      </c>
      <c r="G29" s="391">
        <f>+F29/C$6</f>
        <v>120</v>
      </c>
      <c r="H29" s="469"/>
      <c r="K29" s="593">
        <f>K6</f>
        <v>773</v>
      </c>
      <c r="L29" s="466" t="s">
        <v>384</v>
      </c>
      <c r="M29" s="466"/>
      <c r="Q29" s="373"/>
    </row>
    <row r="30" spans="1:17" ht="11.25" customHeight="1" x14ac:dyDescent="0.3">
      <c r="A30" s="370">
        <v>2.2000000000000002</v>
      </c>
      <c r="B30" s="380" t="s">
        <v>332</v>
      </c>
      <c r="C30" s="417">
        <v>3</v>
      </c>
      <c r="D30" s="372" t="s">
        <v>331</v>
      </c>
      <c r="E30" s="373">
        <v>3000</v>
      </c>
      <c r="F30" s="373">
        <f>C30*E30</f>
        <v>9000</v>
      </c>
      <c r="G30" s="391">
        <f>+F30/C$6</f>
        <v>11.642949547218629</v>
      </c>
      <c r="H30" s="469"/>
      <c r="K30" s="593">
        <v>3</v>
      </c>
      <c r="Q30" s="373"/>
    </row>
    <row r="31" spans="1:17" ht="12" customHeight="1" x14ac:dyDescent="0.3">
      <c r="A31" s="530"/>
      <c r="B31" s="531"/>
      <c r="C31" s="371"/>
      <c r="D31" s="532"/>
      <c r="E31" s="510"/>
      <c r="F31" s="510"/>
      <c r="G31" s="391"/>
      <c r="H31" s="469"/>
      <c r="K31" s="593"/>
      <c r="Q31" s="373"/>
    </row>
    <row r="32" spans="1:17" ht="13.5" customHeight="1" x14ac:dyDescent="0.3">
      <c r="A32" s="513">
        <f>A28</f>
        <v>2</v>
      </c>
      <c r="B32" s="514" t="s">
        <v>169</v>
      </c>
      <c r="C32" s="515"/>
      <c r="D32" s="516"/>
      <c r="E32" s="517"/>
      <c r="F32" s="517">
        <f>SUM(F29:F31)</f>
        <v>101760</v>
      </c>
      <c r="G32" s="518">
        <f>F32/$C$6</f>
        <v>131.64294954721862</v>
      </c>
      <c r="H32" s="472"/>
      <c r="K32" s="593"/>
      <c r="M32" s="466"/>
      <c r="Q32" s="373"/>
    </row>
    <row r="33" spans="1:17" ht="12" customHeight="1" x14ac:dyDescent="0.3">
      <c r="A33" s="533"/>
      <c r="B33" s="508"/>
      <c r="C33" s="520"/>
      <c r="D33" s="521"/>
      <c r="E33" s="522"/>
      <c r="F33" s="522"/>
      <c r="G33" s="523"/>
      <c r="H33" s="472"/>
      <c r="K33" s="593"/>
      <c r="Q33" s="373"/>
    </row>
    <row r="34" spans="1:17" ht="11.5" x14ac:dyDescent="0.3">
      <c r="A34" s="525">
        <v>3</v>
      </c>
      <c r="B34" s="508" t="s">
        <v>235</v>
      </c>
      <c r="C34" s="520"/>
      <c r="D34" s="521"/>
      <c r="E34" s="529"/>
      <c r="F34" s="510"/>
      <c r="G34" s="391"/>
      <c r="H34" s="463"/>
      <c r="K34" s="593"/>
      <c r="M34" s="466"/>
      <c r="Q34" s="373"/>
    </row>
    <row r="35" spans="1:17" ht="12" customHeight="1" x14ac:dyDescent="0.3">
      <c r="A35" s="370">
        <v>3.1</v>
      </c>
      <c r="B35" s="380" t="s">
        <v>405</v>
      </c>
      <c r="C35" s="371">
        <f>ROUNDUP(C6*70/1000,0)</f>
        <v>55</v>
      </c>
      <c r="D35" s="462" t="s">
        <v>193</v>
      </c>
      <c r="E35" s="373">
        <v>1950</v>
      </c>
      <c r="F35" s="373">
        <f>C35*E35</f>
        <v>107250</v>
      </c>
      <c r="G35" s="391">
        <f>+F35/C$6</f>
        <v>138.745148771022</v>
      </c>
      <c r="H35" s="469"/>
      <c r="K35" s="593">
        <f>ROUNDUP(K6*60/1000,0)</f>
        <v>47</v>
      </c>
      <c r="Q35" s="534"/>
    </row>
    <row r="36" spans="1:17" ht="12" customHeight="1" x14ac:dyDescent="0.3">
      <c r="A36" s="370">
        <v>3.2</v>
      </c>
      <c r="B36" s="380" t="s">
        <v>311</v>
      </c>
      <c r="C36" s="371">
        <v>1</v>
      </c>
      <c r="D36" s="462" t="s">
        <v>158</v>
      </c>
      <c r="E36" s="373">
        <v>5000</v>
      </c>
      <c r="F36" s="373">
        <f>C36*E36</f>
        <v>5000</v>
      </c>
      <c r="G36" s="391">
        <f>+F36/C$6</f>
        <v>6.4683053040103493</v>
      </c>
      <c r="H36" s="469"/>
      <c r="K36" s="593">
        <v>1</v>
      </c>
      <c r="Q36" s="534"/>
    </row>
    <row r="37" spans="1:17" ht="11.25" customHeight="1" x14ac:dyDescent="0.3">
      <c r="A37" s="370">
        <v>3.3</v>
      </c>
      <c r="B37" s="422" t="s">
        <v>312</v>
      </c>
      <c r="C37" s="475">
        <f>ROUND(C35*0.1,1)</f>
        <v>5.5</v>
      </c>
      <c r="D37" s="462" t="s">
        <v>193</v>
      </c>
      <c r="E37" s="373">
        <v>1950</v>
      </c>
      <c r="F37" s="373">
        <f>C37*E37</f>
        <v>10725</v>
      </c>
      <c r="G37" s="391">
        <f>+F37/C$6</f>
        <v>13.874514877102198</v>
      </c>
      <c r="H37" s="469"/>
      <c r="K37" s="593">
        <f>ROUND(K35*0.1,1)</f>
        <v>4.7</v>
      </c>
    </row>
    <row r="38" spans="1:17" ht="12" customHeight="1" x14ac:dyDescent="0.3">
      <c r="A38" s="370">
        <v>3.4</v>
      </c>
      <c r="B38" s="380" t="s">
        <v>362</v>
      </c>
      <c r="C38" s="1285" t="s">
        <v>156</v>
      </c>
      <c r="D38" s="1286"/>
      <c r="E38" s="1286"/>
      <c r="F38" s="1286"/>
      <c r="G38" s="1287"/>
      <c r="H38" s="469"/>
      <c r="K38" s="593"/>
      <c r="Q38" s="373"/>
    </row>
    <row r="39" spans="1:17" ht="12" customHeight="1" x14ac:dyDescent="0.3">
      <c r="A39" s="370">
        <v>3.5</v>
      </c>
      <c r="B39" s="380" t="s">
        <v>313</v>
      </c>
      <c r="C39" s="371">
        <v>1</v>
      </c>
      <c r="D39" s="462" t="s">
        <v>158</v>
      </c>
      <c r="E39" s="373">
        <v>10000</v>
      </c>
      <c r="F39" s="373">
        <f>C39*E39</f>
        <v>10000</v>
      </c>
      <c r="G39" s="374">
        <f>+F39/C$6</f>
        <v>12.936610608020699</v>
      </c>
      <c r="H39" s="469"/>
      <c r="K39" s="593">
        <v>1</v>
      </c>
      <c r="Q39" s="373"/>
    </row>
    <row r="40" spans="1:17" ht="12" customHeight="1" x14ac:dyDescent="0.3">
      <c r="A40" s="512"/>
      <c r="B40" s="535"/>
      <c r="C40" s="371"/>
      <c r="D40" s="462"/>
      <c r="E40" s="373"/>
      <c r="F40" s="373"/>
      <c r="G40" s="374"/>
      <c r="H40" s="469"/>
      <c r="K40" s="593"/>
      <c r="Q40" s="373"/>
    </row>
    <row r="41" spans="1:17" ht="12" customHeight="1" x14ac:dyDescent="0.3">
      <c r="A41" s="513">
        <f>A34</f>
        <v>3</v>
      </c>
      <c r="B41" s="514" t="s">
        <v>169</v>
      </c>
      <c r="C41" s="515"/>
      <c r="D41" s="516"/>
      <c r="E41" s="517"/>
      <c r="F41" s="517">
        <f>ROUND(SUM(F33:F40),-3)</f>
        <v>133000</v>
      </c>
      <c r="G41" s="518">
        <f>F41/$C$6</f>
        <v>172.05692108667529</v>
      </c>
      <c r="H41" s="469"/>
      <c r="K41" s="593"/>
      <c r="Q41" s="373"/>
    </row>
    <row r="42" spans="1:17" ht="12" customHeight="1" x14ac:dyDescent="0.3">
      <c r="A42" s="536"/>
      <c r="B42" s="526"/>
      <c r="C42" s="520"/>
      <c r="D42" s="521"/>
      <c r="E42" s="522"/>
      <c r="F42" s="522"/>
      <c r="G42" s="523"/>
      <c r="H42" s="469"/>
      <c r="K42" s="593"/>
      <c r="Q42" s="373"/>
    </row>
    <row r="43" spans="1:17" ht="11.25" customHeight="1" x14ac:dyDescent="0.3">
      <c r="A43" s="536">
        <v>4</v>
      </c>
      <c r="B43" s="537" t="s">
        <v>49</v>
      </c>
      <c r="C43" s="371"/>
      <c r="D43" s="462"/>
      <c r="E43" s="373"/>
      <c r="F43" s="510"/>
      <c r="G43" s="391"/>
      <c r="H43" s="469"/>
      <c r="K43" s="593"/>
      <c r="Q43" s="373"/>
    </row>
    <row r="44" spans="1:17" ht="12" customHeight="1" x14ac:dyDescent="0.3">
      <c r="A44" s="370">
        <v>4.0999999999999996</v>
      </c>
      <c r="B44" s="471" t="s">
        <v>333</v>
      </c>
      <c r="C44" s="371">
        <f>C6</f>
        <v>773</v>
      </c>
      <c r="D44" s="532" t="s">
        <v>27</v>
      </c>
      <c r="E44" s="373">
        <v>250</v>
      </c>
      <c r="F44" s="373">
        <f>C44*E44</f>
        <v>193250</v>
      </c>
      <c r="G44" s="391">
        <f>+F44/C$6</f>
        <v>250</v>
      </c>
      <c r="H44" s="469"/>
      <c r="K44" s="593">
        <f>K6</f>
        <v>773</v>
      </c>
      <c r="L44" s="588" t="s">
        <v>388</v>
      </c>
      <c r="M44" s="589"/>
      <c r="Q44" s="373"/>
    </row>
    <row r="45" spans="1:17" ht="11.25" customHeight="1" x14ac:dyDescent="0.3">
      <c r="A45" s="370">
        <f>A44+0.1</f>
        <v>4.1999999999999993</v>
      </c>
      <c r="B45" s="538" t="s">
        <v>344</v>
      </c>
      <c r="C45" s="371">
        <v>1</v>
      </c>
      <c r="D45" s="532" t="s">
        <v>158</v>
      </c>
      <c r="E45" s="373">
        <v>12000</v>
      </c>
      <c r="F45" s="373">
        <f>C45*E45</f>
        <v>12000</v>
      </c>
      <c r="G45" s="391">
        <f>+F45/C$6</f>
        <v>15.523932729624839</v>
      </c>
      <c r="H45" s="469"/>
      <c r="K45" s="593"/>
      <c r="Q45" s="373"/>
    </row>
    <row r="46" spans="1:17" ht="12" customHeight="1" x14ac:dyDescent="0.3">
      <c r="A46" s="370">
        <v>4.3</v>
      </c>
      <c r="B46" s="471" t="s">
        <v>395</v>
      </c>
      <c r="C46" s="371">
        <v>1</v>
      </c>
      <c r="D46" s="532" t="s">
        <v>158</v>
      </c>
      <c r="E46" s="373">
        <v>7500</v>
      </c>
      <c r="F46" s="373">
        <f>C46*E46</f>
        <v>7500</v>
      </c>
      <c r="G46" s="391">
        <f>+F46/C$6</f>
        <v>9.7024579560155235</v>
      </c>
      <c r="H46" s="469"/>
      <c r="K46" s="593"/>
      <c r="Q46" s="373"/>
    </row>
    <row r="47" spans="1:17" ht="12" customHeight="1" x14ac:dyDescent="0.3">
      <c r="A47" s="370">
        <v>4.4000000000000004</v>
      </c>
      <c r="B47" s="471" t="s">
        <v>371</v>
      </c>
      <c r="C47" s="371">
        <v>1</v>
      </c>
      <c r="D47" s="532" t="s">
        <v>158</v>
      </c>
      <c r="E47" s="373">
        <v>10000</v>
      </c>
      <c r="F47" s="373">
        <f>C47*E47</f>
        <v>10000</v>
      </c>
      <c r="G47" s="391">
        <f>+F47/C$6</f>
        <v>12.936610608020699</v>
      </c>
      <c r="H47" s="469"/>
      <c r="K47" s="593"/>
      <c r="Q47" s="534"/>
    </row>
    <row r="48" spans="1:17" ht="11.25" customHeight="1" x14ac:dyDescent="0.3">
      <c r="A48" s="530"/>
      <c r="B48" s="538"/>
      <c r="C48" s="371"/>
      <c r="D48" s="462"/>
      <c r="E48" s="373"/>
      <c r="F48" s="539"/>
      <c r="G48" s="391"/>
      <c r="H48" s="469"/>
      <c r="K48" s="593"/>
    </row>
    <row r="49" spans="1:13" ht="12" customHeight="1" x14ac:dyDescent="0.3">
      <c r="A49" s="513">
        <f>A43</f>
        <v>4</v>
      </c>
      <c r="B49" s="514" t="s">
        <v>169</v>
      </c>
      <c r="C49" s="515"/>
      <c r="D49" s="516"/>
      <c r="E49" s="517"/>
      <c r="F49" s="517">
        <f>ROUND(SUM(F42:F48),-3)</f>
        <v>223000</v>
      </c>
      <c r="G49" s="518">
        <f>F49/$C$6</f>
        <v>288.48641655886161</v>
      </c>
      <c r="H49" s="469"/>
      <c r="K49" s="593"/>
    </row>
    <row r="50" spans="1:13" ht="11.25" customHeight="1" x14ac:dyDescent="0.3">
      <c r="A50" s="540"/>
      <c r="B50" s="541"/>
      <c r="C50" s="542"/>
      <c r="D50" s="543"/>
      <c r="E50" s="544"/>
      <c r="F50" s="544"/>
      <c r="G50" s="545"/>
      <c r="H50" s="469"/>
      <c r="K50" s="593"/>
    </row>
    <row r="51" spans="1:13" ht="11.25" customHeight="1" x14ac:dyDescent="0.3">
      <c r="A51" s="536">
        <v>5</v>
      </c>
      <c r="B51" s="526" t="s">
        <v>120</v>
      </c>
      <c r="C51" s="520"/>
      <c r="D51" s="521"/>
      <c r="E51" s="522"/>
      <c r="F51" s="522"/>
      <c r="G51" s="523"/>
      <c r="H51" s="469"/>
      <c r="K51" s="593"/>
    </row>
    <row r="52" spans="1:13" ht="11.5" x14ac:dyDescent="0.3">
      <c r="A52" s="370">
        <v>5.0999999999999996</v>
      </c>
      <c r="B52" s="477" t="s">
        <v>314</v>
      </c>
      <c r="C52" s="371">
        <v>3</v>
      </c>
      <c r="D52" s="532" t="s">
        <v>331</v>
      </c>
      <c r="E52" s="373">
        <v>15000</v>
      </c>
      <c r="F52" s="373">
        <f>C52*E52</f>
        <v>45000</v>
      </c>
      <c r="G52" s="391">
        <f>+F52/C$6</f>
        <v>58.214747736093145</v>
      </c>
      <c r="H52" s="469"/>
      <c r="K52" s="593">
        <v>3</v>
      </c>
    </row>
    <row r="53" spans="1:13" ht="11.25" customHeight="1" x14ac:dyDescent="0.3">
      <c r="A53" s="370">
        <v>5.2</v>
      </c>
      <c r="B53" s="471" t="s">
        <v>345</v>
      </c>
      <c r="C53" s="371">
        <v>1</v>
      </c>
      <c r="D53" s="532" t="s">
        <v>158</v>
      </c>
      <c r="E53" s="373">
        <v>5000</v>
      </c>
      <c r="F53" s="373">
        <f>C53*E53</f>
        <v>5000</v>
      </c>
      <c r="G53" s="391">
        <f>+F53/C$6</f>
        <v>6.4683053040103493</v>
      </c>
      <c r="H53" s="469"/>
      <c r="K53" s="593">
        <v>1</v>
      </c>
    </row>
    <row r="54" spans="1:13" ht="11.25" customHeight="1" x14ac:dyDescent="0.3">
      <c r="A54" s="370">
        <v>5.3</v>
      </c>
      <c r="B54" s="502" t="s">
        <v>346</v>
      </c>
      <c r="C54" s="546">
        <v>1</v>
      </c>
      <c r="D54" s="465" t="s">
        <v>158</v>
      </c>
      <c r="E54" s="373">
        <v>3500</v>
      </c>
      <c r="F54" s="373">
        <f>C54*E54</f>
        <v>3500</v>
      </c>
      <c r="G54" s="391">
        <f>+F54/C$6</f>
        <v>4.5278137128072444</v>
      </c>
      <c r="H54" s="469"/>
      <c r="K54" s="593">
        <v>1</v>
      </c>
    </row>
    <row r="55" spans="1:13" ht="11.5" x14ac:dyDescent="0.3">
      <c r="A55" s="530"/>
      <c r="B55" s="538"/>
      <c r="C55" s="371"/>
      <c r="D55" s="462"/>
      <c r="E55" s="373"/>
      <c r="F55" s="510"/>
      <c r="G55" s="391"/>
      <c r="H55" s="472"/>
      <c r="K55" s="593"/>
      <c r="M55" s="466"/>
    </row>
    <row r="56" spans="1:13" ht="11.25" customHeight="1" x14ac:dyDescent="0.3">
      <c r="A56" s="513">
        <f>A51</f>
        <v>5</v>
      </c>
      <c r="B56" s="514" t="s">
        <v>169</v>
      </c>
      <c r="C56" s="515"/>
      <c r="D56" s="516"/>
      <c r="E56" s="517"/>
      <c r="F56" s="517">
        <f>ROUND(SUM(F50:F55),-3)</f>
        <v>54000</v>
      </c>
      <c r="G56" s="518">
        <f>F56/$C$6</f>
        <v>69.857697283311779</v>
      </c>
      <c r="H56" s="472"/>
      <c r="K56" s="593"/>
    </row>
    <row r="57" spans="1:13" ht="12" customHeight="1" x14ac:dyDescent="0.3">
      <c r="A57" s="533"/>
      <c r="B57" s="508"/>
      <c r="C57" s="520"/>
      <c r="D57" s="521"/>
      <c r="E57" s="522"/>
      <c r="F57" s="522"/>
      <c r="G57" s="523"/>
      <c r="H57" s="472"/>
      <c r="K57" s="593"/>
    </row>
    <row r="58" spans="1:13" ht="12" customHeight="1" x14ac:dyDescent="0.3">
      <c r="A58" s="525">
        <v>6</v>
      </c>
      <c r="B58" s="526" t="s">
        <v>236</v>
      </c>
      <c r="C58" s="527"/>
      <c r="D58" s="528"/>
      <c r="E58" s="529"/>
      <c r="F58" s="510"/>
      <c r="G58" s="391"/>
      <c r="H58" s="472"/>
      <c r="K58" s="593"/>
    </row>
    <row r="59" spans="1:13" ht="12" customHeight="1" x14ac:dyDescent="0.3">
      <c r="A59" s="470">
        <v>6.1</v>
      </c>
      <c r="B59" s="471" t="s">
        <v>372</v>
      </c>
      <c r="C59" s="371">
        <f>1078</f>
        <v>1078</v>
      </c>
      <c r="D59" s="462" t="s">
        <v>27</v>
      </c>
      <c r="E59" s="373">
        <v>150</v>
      </c>
      <c r="F59" s="510">
        <f t="shared" ref="F59:F65" si="3">+E59*C59</f>
        <v>161700</v>
      </c>
      <c r="G59" s="391">
        <f t="shared" ref="G59:G65" si="4">ROUND(F59/$C$6,2)</f>
        <v>209.18</v>
      </c>
      <c r="H59" s="472"/>
      <c r="K59" s="593">
        <f>102.65*10.5</f>
        <v>1077.825</v>
      </c>
    </row>
    <row r="60" spans="1:13" ht="12" customHeight="1" x14ac:dyDescent="0.3">
      <c r="A60" s="370">
        <f>A59+0.1</f>
        <v>6.1999999999999993</v>
      </c>
      <c r="B60" s="597" t="s">
        <v>396</v>
      </c>
      <c r="C60" s="371">
        <f>C18</f>
        <v>612</v>
      </c>
      <c r="D60" s="462" t="s">
        <v>27</v>
      </c>
      <c r="E60" s="373">
        <v>100</v>
      </c>
      <c r="F60" s="373">
        <f t="shared" si="3"/>
        <v>61200</v>
      </c>
      <c r="G60" s="374">
        <f t="shared" si="4"/>
        <v>79.17</v>
      </c>
      <c r="H60" s="472"/>
      <c r="I60" s="592">
        <f>C59+C60</f>
        <v>1690</v>
      </c>
      <c r="J60" s="590"/>
      <c r="K60" s="593">
        <f>(72*10)*2/3</f>
        <v>480</v>
      </c>
      <c r="L60" s="466" t="s">
        <v>389</v>
      </c>
    </row>
    <row r="61" spans="1:13" ht="23" x14ac:dyDescent="0.3">
      <c r="A61" s="470">
        <v>6.3</v>
      </c>
      <c r="B61" s="467" t="s">
        <v>373</v>
      </c>
      <c r="C61" s="722" t="s">
        <v>156</v>
      </c>
      <c r="D61" s="534"/>
      <c r="E61" s="534"/>
      <c r="F61" s="534"/>
      <c r="G61" s="723"/>
      <c r="I61" s="592">
        <v>270</v>
      </c>
      <c r="J61" s="591">
        <f>I61/I60</f>
        <v>0.15976331360946747</v>
      </c>
      <c r="K61" s="593">
        <f>(72*10)*1/3</f>
        <v>240</v>
      </c>
    </row>
    <row r="62" spans="1:13" ht="11.25" customHeight="1" x14ac:dyDescent="0.3">
      <c r="A62" s="470">
        <v>6.4</v>
      </c>
      <c r="B62" s="467" t="s">
        <v>347</v>
      </c>
      <c r="C62" s="371">
        <v>4</v>
      </c>
      <c r="D62" s="462" t="s">
        <v>155</v>
      </c>
      <c r="E62" s="373">
        <v>2500</v>
      </c>
      <c r="F62" s="510">
        <f t="shared" si="3"/>
        <v>10000</v>
      </c>
      <c r="G62" s="391">
        <f t="shared" si="4"/>
        <v>12.94</v>
      </c>
      <c r="K62" s="593">
        <v>4</v>
      </c>
    </row>
    <row r="63" spans="1:13" ht="11.25" customHeight="1" x14ac:dyDescent="0.3">
      <c r="A63" s="370">
        <v>6.5</v>
      </c>
      <c r="B63" s="467" t="s">
        <v>363</v>
      </c>
      <c r="C63" s="722" t="s">
        <v>156</v>
      </c>
      <c r="D63" s="534"/>
      <c r="E63" s="534"/>
      <c r="F63" s="534"/>
      <c r="G63" s="723"/>
      <c r="K63" s="593"/>
    </row>
    <row r="64" spans="1:13" ht="12" customHeight="1" x14ac:dyDescent="0.3">
      <c r="A64" s="470">
        <v>6.6</v>
      </c>
      <c r="B64" s="436" t="s">
        <v>348</v>
      </c>
      <c r="C64" s="371">
        <v>72</v>
      </c>
      <c r="D64" s="462" t="s">
        <v>153</v>
      </c>
      <c r="E64" s="373">
        <v>100</v>
      </c>
      <c r="F64" s="510">
        <f t="shared" si="3"/>
        <v>7200</v>
      </c>
      <c r="G64" s="391">
        <f t="shared" si="4"/>
        <v>9.31</v>
      </c>
      <c r="K64" s="593">
        <v>72.45</v>
      </c>
    </row>
    <row r="65" spans="1:16" ht="11.5" x14ac:dyDescent="0.3">
      <c r="A65" s="370">
        <v>6.7</v>
      </c>
      <c r="B65" s="436" t="s">
        <v>374</v>
      </c>
      <c r="C65" s="371">
        <v>36</v>
      </c>
      <c r="D65" s="462" t="s">
        <v>153</v>
      </c>
      <c r="E65" s="373">
        <v>200</v>
      </c>
      <c r="F65" s="510">
        <f t="shared" si="3"/>
        <v>7200</v>
      </c>
      <c r="G65" s="391">
        <f t="shared" si="4"/>
        <v>9.31</v>
      </c>
      <c r="K65" s="593">
        <f>17.79+17.92</f>
        <v>35.71</v>
      </c>
    </row>
    <row r="66" spans="1:16" ht="11.5" x14ac:dyDescent="0.3">
      <c r="A66" s="370">
        <v>6.8</v>
      </c>
      <c r="B66" s="436" t="s">
        <v>375</v>
      </c>
      <c r="C66" s="546">
        <v>1</v>
      </c>
      <c r="D66" s="465" t="s">
        <v>158</v>
      </c>
      <c r="E66" s="373">
        <v>10000</v>
      </c>
      <c r="F66" s="373">
        <f>C66*E66</f>
        <v>10000</v>
      </c>
      <c r="G66" s="391">
        <f>+F66/C$6</f>
        <v>12.936610608020699</v>
      </c>
      <c r="K66" s="593">
        <v>1</v>
      </c>
    </row>
    <row r="67" spans="1:16" ht="12" customHeight="1" x14ac:dyDescent="0.3">
      <c r="A67" s="390"/>
      <c r="B67" s="471"/>
      <c r="C67" s="371"/>
      <c r="D67" s="462"/>
      <c r="E67" s="373"/>
      <c r="F67" s="373"/>
      <c r="G67" s="374"/>
      <c r="K67" s="593"/>
    </row>
    <row r="68" spans="1:16" ht="12" customHeight="1" x14ac:dyDescent="0.3">
      <c r="A68" s="513">
        <f>A58</f>
        <v>6</v>
      </c>
      <c r="B68" s="514" t="s">
        <v>169</v>
      </c>
      <c r="C68" s="515"/>
      <c r="D68" s="516"/>
      <c r="E68" s="517"/>
      <c r="F68" s="517">
        <f>ROUND(SUM(F57:F67),-3)</f>
        <v>257000</v>
      </c>
      <c r="G68" s="518">
        <f>F68/$C$6</f>
        <v>332.47089262613196</v>
      </c>
      <c r="K68" s="593"/>
    </row>
    <row r="69" spans="1:16" ht="12" customHeight="1" x14ac:dyDescent="0.3">
      <c r="A69" s="533"/>
      <c r="B69" s="508"/>
      <c r="C69" s="520"/>
      <c r="D69" s="521"/>
      <c r="E69" s="522"/>
      <c r="F69" s="522"/>
      <c r="G69" s="523"/>
      <c r="K69" s="593"/>
    </row>
    <row r="70" spans="1:16" ht="12.75" customHeight="1" x14ac:dyDescent="0.3">
      <c r="A70" s="525">
        <v>7</v>
      </c>
      <c r="B70" s="526" t="s">
        <v>237</v>
      </c>
      <c r="C70" s="527"/>
      <c r="D70" s="547"/>
      <c r="E70" s="510"/>
      <c r="F70" s="510"/>
      <c r="G70" s="391"/>
      <c r="K70" s="593"/>
      <c r="M70" s="466"/>
    </row>
    <row r="71" spans="1:16" ht="12.75" customHeight="1" x14ac:dyDescent="0.3">
      <c r="A71" s="470">
        <v>7.1</v>
      </c>
      <c r="B71" s="422" t="s">
        <v>221</v>
      </c>
      <c r="C71" s="371">
        <v>3</v>
      </c>
      <c r="D71" s="462" t="s">
        <v>155</v>
      </c>
      <c r="E71" s="373">
        <v>1500</v>
      </c>
      <c r="F71" s="510">
        <f>+E71*C71</f>
        <v>4500</v>
      </c>
      <c r="G71" s="391">
        <f>ROUND(F71/$C$6,2)</f>
        <v>5.82</v>
      </c>
      <c r="K71" s="593">
        <v>3</v>
      </c>
      <c r="M71" s="466"/>
    </row>
    <row r="72" spans="1:16" ht="12.75" customHeight="1" x14ac:dyDescent="0.3">
      <c r="A72" s="395">
        <f>A71+0.1</f>
        <v>7.1999999999999993</v>
      </c>
      <c r="B72" s="502" t="s">
        <v>222</v>
      </c>
      <c r="C72" s="1285" t="s">
        <v>156</v>
      </c>
      <c r="D72" s="1286"/>
      <c r="E72" s="1286"/>
      <c r="F72" s="1286"/>
      <c r="G72" s="1287"/>
      <c r="K72" s="593"/>
      <c r="M72" s="466"/>
    </row>
    <row r="73" spans="1:16" ht="12.75" customHeight="1" x14ac:dyDescent="0.3">
      <c r="A73" s="548"/>
      <c r="B73" s="549"/>
      <c r="C73" s="417"/>
      <c r="D73" s="532"/>
      <c r="E73" s="510"/>
      <c r="F73" s="510"/>
      <c r="G73" s="391"/>
      <c r="K73" s="593"/>
      <c r="M73" s="466"/>
    </row>
    <row r="74" spans="1:16" ht="12.75" customHeight="1" x14ac:dyDescent="0.3">
      <c r="A74" s="513">
        <f>A70</f>
        <v>7</v>
      </c>
      <c r="B74" s="514" t="s">
        <v>169</v>
      </c>
      <c r="C74" s="515"/>
      <c r="D74" s="516"/>
      <c r="E74" s="596"/>
      <c r="F74" s="517">
        <f>SUM(F70:F73)</f>
        <v>4500</v>
      </c>
      <c r="G74" s="518">
        <f>F74/$C$6</f>
        <v>5.8214747736093146</v>
      </c>
      <c r="I74" s="554"/>
      <c r="J74" s="554"/>
      <c r="K74" s="594"/>
      <c r="L74" s="554"/>
      <c r="M74" s="554"/>
      <c r="N74" s="554"/>
      <c r="O74" s="554"/>
      <c r="P74" s="554"/>
    </row>
    <row r="75" spans="1:16" ht="12.75" customHeight="1" x14ac:dyDescent="0.3">
      <c r="A75" s="501"/>
      <c r="B75" s="502"/>
      <c r="C75" s="503"/>
      <c r="D75" s="504"/>
      <c r="E75" s="505"/>
      <c r="F75" s="505"/>
      <c r="G75" s="506"/>
      <c r="I75" s="554"/>
      <c r="J75" s="554"/>
      <c r="K75" s="594"/>
      <c r="L75" s="554"/>
      <c r="M75" s="554"/>
      <c r="N75" s="554"/>
      <c r="O75" s="554"/>
      <c r="P75" s="554"/>
    </row>
    <row r="76" spans="1:16" ht="12.75" customHeight="1" x14ac:dyDescent="0.3">
      <c r="A76" s="536">
        <v>8</v>
      </c>
      <c r="B76" s="526" t="s">
        <v>238</v>
      </c>
      <c r="C76" s="417"/>
      <c r="D76" s="532"/>
      <c r="E76" s="510"/>
      <c r="F76" s="510"/>
      <c r="G76" s="391"/>
      <c r="I76" s="554"/>
      <c r="J76" s="554"/>
      <c r="K76" s="594"/>
      <c r="L76" s="554"/>
      <c r="M76" s="554"/>
      <c r="N76" s="554"/>
      <c r="O76" s="554"/>
      <c r="P76" s="554"/>
    </row>
    <row r="77" spans="1:16" ht="12.75" customHeight="1" x14ac:dyDescent="0.3">
      <c r="A77" s="548">
        <v>8.1</v>
      </c>
      <c r="B77" s="531" t="s">
        <v>315</v>
      </c>
      <c r="C77" s="1285" t="s">
        <v>156</v>
      </c>
      <c r="D77" s="1286"/>
      <c r="E77" s="1286"/>
      <c r="F77" s="1286"/>
      <c r="G77" s="1287"/>
      <c r="I77" s="554"/>
      <c r="J77" s="554"/>
      <c r="K77" s="594"/>
      <c r="L77" s="554"/>
      <c r="M77" s="554"/>
      <c r="N77" s="554"/>
      <c r="O77" s="554"/>
      <c r="P77" s="554"/>
    </row>
    <row r="78" spans="1:16" ht="12.75" customHeight="1" x14ac:dyDescent="0.3">
      <c r="A78" s="548">
        <v>8.1999999999999993</v>
      </c>
      <c r="B78" s="555" t="s">
        <v>223</v>
      </c>
      <c r="C78" s="371"/>
      <c r="D78" s="532"/>
      <c r="E78" s="510"/>
      <c r="F78" s="510"/>
      <c r="G78" s="391"/>
      <c r="I78" s="554"/>
      <c r="J78" s="554"/>
      <c r="K78" s="594"/>
      <c r="L78" s="554"/>
      <c r="M78" s="554"/>
      <c r="N78" s="554"/>
      <c r="O78" s="554"/>
      <c r="P78" s="554"/>
    </row>
    <row r="79" spans="1:16" ht="12.75" customHeight="1" x14ac:dyDescent="0.3">
      <c r="A79" s="470" t="s">
        <v>224</v>
      </c>
      <c r="B79" s="531" t="s">
        <v>334</v>
      </c>
      <c r="C79" s="371">
        <f>C6</f>
        <v>773</v>
      </c>
      <c r="D79" s="532" t="s">
        <v>27</v>
      </c>
      <c r="E79" s="510">
        <v>30</v>
      </c>
      <c r="F79" s="510">
        <f>+E79*C79</f>
        <v>23190</v>
      </c>
      <c r="G79" s="391">
        <f>ROUND(F79/$C$6,2)</f>
        <v>30</v>
      </c>
      <c r="I79" s="556"/>
      <c r="J79" s="556"/>
      <c r="K79" s="595">
        <f>K6</f>
        <v>773</v>
      </c>
      <c r="L79" s="585" t="s">
        <v>385</v>
      </c>
      <c r="M79" s="557"/>
      <c r="N79" s="558"/>
      <c r="O79" s="558"/>
      <c r="P79" s="559"/>
    </row>
    <row r="80" spans="1:16" ht="12.75" customHeight="1" x14ac:dyDescent="0.3">
      <c r="A80" s="470" t="s">
        <v>225</v>
      </c>
      <c r="B80" s="531" t="s">
        <v>316</v>
      </c>
      <c r="C80" s="371">
        <f>C79</f>
        <v>773</v>
      </c>
      <c r="D80" s="532" t="s">
        <v>27</v>
      </c>
      <c r="E80" s="510">
        <v>10</v>
      </c>
      <c r="F80" s="510">
        <f>+E80*C80</f>
        <v>7730</v>
      </c>
      <c r="G80" s="391">
        <f>ROUND(F80/$C$6,2)</f>
        <v>10</v>
      </c>
      <c r="I80" s="556"/>
      <c r="J80" s="556"/>
      <c r="K80" s="595">
        <f>K79</f>
        <v>773</v>
      </c>
      <c r="L80" s="585"/>
      <c r="M80" s="557"/>
      <c r="N80" s="558"/>
      <c r="O80" s="558"/>
      <c r="P80" s="559"/>
    </row>
    <row r="81" spans="1:11" ht="12.75" customHeight="1" x14ac:dyDescent="0.3">
      <c r="A81" s="548">
        <v>8.3000000000000007</v>
      </c>
      <c r="B81" s="531" t="s">
        <v>349</v>
      </c>
      <c r="C81" s="1285" t="s">
        <v>156</v>
      </c>
      <c r="D81" s="1286"/>
      <c r="E81" s="1286"/>
      <c r="F81" s="1286"/>
      <c r="G81" s="1287"/>
      <c r="K81" s="593"/>
    </row>
    <row r="82" spans="1:11" ht="12.75" customHeight="1" x14ac:dyDescent="0.3">
      <c r="A82" s="560"/>
      <c r="B82" s="555"/>
      <c r="C82" s="371"/>
      <c r="D82" s="465"/>
      <c r="E82" s="373"/>
      <c r="F82" s="373"/>
      <c r="G82" s="391"/>
      <c r="K82" s="593"/>
    </row>
    <row r="83" spans="1:11" ht="12.75" customHeight="1" x14ac:dyDescent="0.3">
      <c r="A83" s="513">
        <f>A76</f>
        <v>8</v>
      </c>
      <c r="B83" s="514" t="s">
        <v>169</v>
      </c>
      <c r="C83" s="515"/>
      <c r="D83" s="516"/>
      <c r="E83" s="517"/>
      <c r="F83" s="517">
        <f>ROUND(SUM(F75:F82),-3)</f>
        <v>31000</v>
      </c>
      <c r="G83" s="518">
        <f>F83/$C$6</f>
        <v>40.103492884864167</v>
      </c>
      <c r="K83" s="593"/>
    </row>
    <row r="84" spans="1:11" ht="12.75" customHeight="1" x14ac:dyDescent="0.3">
      <c r="A84" s="560"/>
      <c r="B84" s="526"/>
      <c r="C84" s="417"/>
      <c r="D84" s="532"/>
      <c r="E84" s="510"/>
      <c r="F84" s="510"/>
      <c r="G84" s="391"/>
      <c r="K84" s="593"/>
    </row>
    <row r="85" spans="1:11" ht="12.75" customHeight="1" x14ac:dyDescent="0.3">
      <c r="A85" s="536">
        <v>9</v>
      </c>
      <c r="B85" s="526" t="s">
        <v>165</v>
      </c>
      <c r="C85" s="417"/>
      <c r="D85" s="532"/>
      <c r="E85" s="510"/>
      <c r="F85" s="510"/>
      <c r="G85" s="391"/>
      <c r="K85" s="593"/>
    </row>
    <row r="86" spans="1:11" ht="12.75" customHeight="1" x14ac:dyDescent="0.3">
      <c r="A86" s="464">
        <v>9.1</v>
      </c>
      <c r="B86" s="502" t="s">
        <v>317</v>
      </c>
      <c r="C86" s="371">
        <v>1</v>
      </c>
      <c r="D86" s="462" t="s">
        <v>158</v>
      </c>
      <c r="E86" s="373">
        <v>2000</v>
      </c>
      <c r="F86" s="373">
        <f>C86*E86</f>
        <v>2000</v>
      </c>
      <c r="G86" s="391">
        <f>ROUND(F86/$C$6,2)</f>
        <v>2.59</v>
      </c>
      <c r="K86" s="593"/>
    </row>
    <row r="87" spans="1:11" ht="12.75" customHeight="1" x14ac:dyDescent="0.3">
      <c r="A87" s="530"/>
      <c r="B87" s="561"/>
      <c r="C87" s="371"/>
      <c r="D87" s="562"/>
      <c r="E87" s="510"/>
      <c r="F87" s="510"/>
      <c r="G87" s="391"/>
      <c r="K87" s="593"/>
    </row>
    <row r="88" spans="1:11" ht="12.75" customHeight="1" x14ac:dyDescent="0.3">
      <c r="A88" s="513">
        <f>+A85</f>
        <v>9</v>
      </c>
      <c r="B88" s="514" t="s">
        <v>169</v>
      </c>
      <c r="C88" s="515"/>
      <c r="D88" s="516"/>
      <c r="E88" s="517"/>
      <c r="F88" s="517">
        <f>ROUND(SUM(F84:F87),-3)</f>
        <v>2000</v>
      </c>
      <c r="G88" s="518">
        <f>F88/$C$6</f>
        <v>2.5873221216041395</v>
      </c>
      <c r="K88" s="593"/>
    </row>
    <row r="89" spans="1:11" ht="12.75" customHeight="1" x14ac:dyDescent="0.3">
      <c r="A89" s="560"/>
      <c r="B89" s="526"/>
      <c r="C89" s="417"/>
      <c r="D89" s="532"/>
      <c r="E89" s="510"/>
      <c r="F89" s="510"/>
      <c r="G89" s="391"/>
      <c r="K89" s="593"/>
    </row>
    <row r="90" spans="1:11" ht="12.75" customHeight="1" x14ac:dyDescent="0.3">
      <c r="A90" s="579">
        <v>10</v>
      </c>
      <c r="B90" s="508" t="s">
        <v>239</v>
      </c>
      <c r="C90" s="371"/>
      <c r="D90" s="462"/>
      <c r="E90" s="373"/>
      <c r="F90" s="373"/>
      <c r="G90" s="374"/>
      <c r="K90" s="593"/>
    </row>
    <row r="91" spans="1:11" ht="12.75" customHeight="1" x14ac:dyDescent="0.3">
      <c r="A91" s="580">
        <v>10.1</v>
      </c>
      <c r="B91" s="581" t="s">
        <v>249</v>
      </c>
      <c r="C91" s="371"/>
      <c r="D91" s="465"/>
      <c r="E91" s="373"/>
      <c r="F91" s="373"/>
      <c r="G91" s="374"/>
      <c r="K91" s="593"/>
    </row>
    <row r="92" spans="1:11" ht="12.75" customHeight="1" x14ac:dyDescent="0.3">
      <c r="A92" s="464" t="s">
        <v>173</v>
      </c>
      <c r="B92" s="502" t="s">
        <v>325</v>
      </c>
      <c r="C92" s="371">
        <f>C79</f>
        <v>773</v>
      </c>
      <c r="D92" s="465" t="s">
        <v>27</v>
      </c>
      <c r="E92" s="373">
        <v>10</v>
      </c>
      <c r="F92" s="373">
        <f>C92*E92</f>
        <v>7730</v>
      </c>
      <c r="G92" s="374">
        <f>ROUND(F92/$C$6,2)</f>
        <v>10</v>
      </c>
      <c r="K92" s="593"/>
    </row>
    <row r="93" spans="1:11" ht="12.75" customHeight="1" x14ac:dyDescent="0.3">
      <c r="A93" s="395" t="s">
        <v>251</v>
      </c>
      <c r="B93" s="471" t="s">
        <v>350</v>
      </c>
      <c r="C93" s="371">
        <v>1</v>
      </c>
      <c r="D93" s="465" t="s">
        <v>158</v>
      </c>
      <c r="E93" s="373">
        <v>2500</v>
      </c>
      <c r="F93" s="373">
        <f>C93*E93</f>
        <v>2500</v>
      </c>
      <c r="G93" s="374">
        <f>ROUND(F93/$C$6,2)</f>
        <v>3.23</v>
      </c>
      <c r="K93" s="593"/>
    </row>
    <row r="94" spans="1:11" ht="12.75" customHeight="1" x14ac:dyDescent="0.3">
      <c r="A94" s="395" t="s">
        <v>210</v>
      </c>
      <c r="B94" s="471" t="s">
        <v>337</v>
      </c>
      <c r="C94" s="371">
        <v>2</v>
      </c>
      <c r="D94" s="465" t="s">
        <v>155</v>
      </c>
      <c r="E94" s="373">
        <v>250</v>
      </c>
      <c r="F94" s="373">
        <f>C94*E94</f>
        <v>500</v>
      </c>
      <c r="G94" s="374">
        <f>ROUND(F94/$C$6,2)</f>
        <v>0.65</v>
      </c>
      <c r="K94" s="593"/>
    </row>
    <row r="95" spans="1:11" ht="12.75" customHeight="1" x14ac:dyDescent="0.3">
      <c r="A95" s="395" t="s">
        <v>252</v>
      </c>
      <c r="B95" s="471" t="s">
        <v>351</v>
      </c>
      <c r="C95" s="371">
        <v>1</v>
      </c>
      <c r="D95" s="465" t="s">
        <v>331</v>
      </c>
      <c r="E95" s="373">
        <v>2500</v>
      </c>
      <c r="F95" s="373">
        <f>C95*E95</f>
        <v>2500</v>
      </c>
      <c r="G95" s="374">
        <f>ROUND(F95/$C$6,2)</f>
        <v>3.23</v>
      </c>
      <c r="K95" s="593"/>
    </row>
    <row r="96" spans="1:11" ht="12.75" customHeight="1" x14ac:dyDescent="0.3">
      <c r="A96" s="580">
        <v>10.199999999999999</v>
      </c>
      <c r="B96" s="581" t="s">
        <v>250</v>
      </c>
      <c r="C96" s="371"/>
      <c r="D96" s="465"/>
      <c r="E96" s="373"/>
      <c r="F96" s="373"/>
      <c r="G96" s="374"/>
      <c r="K96" s="593"/>
    </row>
    <row r="97" spans="1:11" ht="12.75" customHeight="1" x14ac:dyDescent="0.3">
      <c r="A97" s="395" t="s">
        <v>253</v>
      </c>
      <c r="B97" s="402" t="s">
        <v>352</v>
      </c>
      <c r="C97" s="371">
        <v>1</v>
      </c>
      <c r="D97" s="465" t="s">
        <v>158</v>
      </c>
      <c r="E97" s="373">
        <v>107560</v>
      </c>
      <c r="F97" s="373">
        <f t="shared" ref="F97:F132" si="5">C97*E97</f>
        <v>107560</v>
      </c>
      <c r="G97" s="374">
        <f>ROUND(F97/$C$6,2)</f>
        <v>139.15</v>
      </c>
      <c r="K97" s="593"/>
    </row>
    <row r="98" spans="1:11" ht="12.75" customHeight="1" x14ac:dyDescent="0.3">
      <c r="A98" s="395" t="s">
        <v>254</v>
      </c>
      <c r="B98" s="471" t="s">
        <v>353</v>
      </c>
      <c r="C98" s="371">
        <v>1</v>
      </c>
      <c r="D98" s="465" t="s">
        <v>154</v>
      </c>
      <c r="E98" s="373">
        <v>2000</v>
      </c>
      <c r="F98" s="373">
        <f t="shared" si="5"/>
        <v>2000</v>
      </c>
      <c r="G98" s="374">
        <f>ROUND(F98/$C$6,2)</f>
        <v>2.59</v>
      </c>
      <c r="K98" s="593"/>
    </row>
    <row r="99" spans="1:11" ht="12.75" customHeight="1" x14ac:dyDescent="0.3">
      <c r="A99" s="395" t="s">
        <v>255</v>
      </c>
      <c r="B99" s="471" t="s">
        <v>364</v>
      </c>
      <c r="C99" s="722" t="s">
        <v>156</v>
      </c>
      <c r="D99" s="534"/>
      <c r="E99" s="534"/>
      <c r="F99" s="534"/>
      <c r="G99" s="723"/>
      <c r="K99" s="593"/>
    </row>
    <row r="100" spans="1:11" ht="12.75" customHeight="1" x14ac:dyDescent="0.3">
      <c r="A100" s="580">
        <v>10.3</v>
      </c>
      <c r="B100" s="582" t="s">
        <v>256</v>
      </c>
      <c r="C100" s="371"/>
      <c r="D100" s="465"/>
      <c r="E100" s="373"/>
      <c r="F100" s="373"/>
      <c r="G100" s="374"/>
      <c r="K100" s="593"/>
    </row>
    <row r="101" spans="1:11" ht="12.75" customHeight="1" x14ac:dyDescent="0.3">
      <c r="A101" s="395" t="s">
        <v>257</v>
      </c>
      <c r="B101" s="471" t="s">
        <v>354</v>
      </c>
      <c r="C101" s="371">
        <v>1</v>
      </c>
      <c r="D101" s="465" t="s">
        <v>158</v>
      </c>
      <c r="E101" s="373">
        <v>32268</v>
      </c>
      <c r="F101" s="373">
        <f>C101*E101</f>
        <v>32268</v>
      </c>
      <c r="G101" s="374">
        <f>ROUND(F101/$C$6,2)</f>
        <v>41.74</v>
      </c>
      <c r="K101" s="593"/>
    </row>
    <row r="102" spans="1:11" ht="12.75" customHeight="1" x14ac:dyDescent="0.3">
      <c r="A102" s="420" t="s">
        <v>258</v>
      </c>
      <c r="B102" s="471" t="s">
        <v>365</v>
      </c>
      <c r="C102" s="371">
        <v>1</v>
      </c>
      <c r="D102" s="465" t="s">
        <v>158</v>
      </c>
      <c r="E102" s="373">
        <v>12500</v>
      </c>
      <c r="F102" s="373">
        <f>C102*E102</f>
        <v>12500</v>
      </c>
      <c r="G102" s="374">
        <f>ROUND(F102/$C$6,2)</f>
        <v>16.170000000000002</v>
      </c>
      <c r="K102" s="593"/>
    </row>
    <row r="103" spans="1:11" ht="12.75" customHeight="1" x14ac:dyDescent="0.3">
      <c r="A103" s="420" t="s">
        <v>288</v>
      </c>
      <c r="B103" s="471" t="s">
        <v>318</v>
      </c>
      <c r="C103" s="371">
        <f>C6</f>
        <v>773</v>
      </c>
      <c r="D103" s="465" t="s">
        <v>158</v>
      </c>
      <c r="E103" s="373">
        <v>45</v>
      </c>
      <c r="F103" s="373">
        <f t="shared" si="5"/>
        <v>34785</v>
      </c>
      <c r="G103" s="374">
        <f>ROUND(F103/$C$6,2)</f>
        <v>45</v>
      </c>
      <c r="K103" s="593"/>
    </row>
    <row r="104" spans="1:11" ht="12.75" customHeight="1" x14ac:dyDescent="0.3">
      <c r="A104" s="420" t="s">
        <v>259</v>
      </c>
      <c r="B104" s="471" t="s">
        <v>338</v>
      </c>
      <c r="C104" s="722" t="s">
        <v>156</v>
      </c>
      <c r="D104" s="534"/>
      <c r="E104" s="534"/>
      <c r="F104" s="534"/>
      <c r="G104" s="723"/>
      <c r="K104" s="593"/>
    </row>
    <row r="105" spans="1:11" ht="12.75" customHeight="1" x14ac:dyDescent="0.3">
      <c r="A105" s="464" t="s">
        <v>289</v>
      </c>
      <c r="B105" s="471" t="s">
        <v>366</v>
      </c>
      <c r="C105" s="371">
        <v>1</v>
      </c>
      <c r="D105" s="465" t="s">
        <v>158</v>
      </c>
      <c r="E105" s="373">
        <v>5000</v>
      </c>
      <c r="F105" s="373">
        <f t="shared" si="5"/>
        <v>5000</v>
      </c>
      <c r="G105" s="374">
        <f>ROUND(F105/$C$6,2)</f>
        <v>6.47</v>
      </c>
      <c r="K105" s="593"/>
    </row>
    <row r="106" spans="1:11" ht="12.75" customHeight="1" x14ac:dyDescent="0.3">
      <c r="A106" s="464" t="s">
        <v>299</v>
      </c>
      <c r="B106" s="467" t="s">
        <v>376</v>
      </c>
      <c r="C106" s="371">
        <v>1</v>
      </c>
      <c r="D106" s="465" t="s">
        <v>158</v>
      </c>
      <c r="E106" s="373">
        <v>25000</v>
      </c>
      <c r="F106" s="373">
        <f t="shared" si="5"/>
        <v>25000</v>
      </c>
      <c r="G106" s="374">
        <f>ROUND(F106/$C$6,2)</f>
        <v>32.340000000000003</v>
      </c>
    </row>
    <row r="107" spans="1:11" ht="12.75" customHeight="1" x14ac:dyDescent="0.3">
      <c r="A107" s="464" t="s">
        <v>300</v>
      </c>
      <c r="B107" s="467" t="s">
        <v>378</v>
      </c>
      <c r="C107" s="371">
        <v>1</v>
      </c>
      <c r="D107" s="465" t="s">
        <v>158</v>
      </c>
      <c r="E107" s="373">
        <v>20000</v>
      </c>
      <c r="F107" s="373">
        <f>C107*E107</f>
        <v>20000</v>
      </c>
      <c r="G107" s="374">
        <f>ROUND(F107/$C$6,2)</f>
        <v>25.87</v>
      </c>
    </row>
    <row r="108" spans="1:11" ht="12.75" customHeight="1" x14ac:dyDescent="0.3">
      <c r="A108" s="580">
        <v>10.4</v>
      </c>
      <c r="B108" s="582" t="s">
        <v>260</v>
      </c>
      <c r="C108" s="371"/>
      <c r="D108" s="465"/>
      <c r="E108" s="373"/>
      <c r="F108" s="373"/>
      <c r="G108" s="374"/>
    </row>
    <row r="109" spans="1:11" ht="12.75" customHeight="1" x14ac:dyDescent="0.3">
      <c r="A109" s="420" t="s">
        <v>261</v>
      </c>
      <c r="B109" s="471" t="s">
        <v>188</v>
      </c>
      <c r="C109" s="371">
        <f>C79</f>
        <v>773</v>
      </c>
      <c r="D109" s="465" t="s">
        <v>27</v>
      </c>
      <c r="E109" s="373">
        <v>45</v>
      </c>
      <c r="F109" s="373">
        <f t="shared" si="5"/>
        <v>34785</v>
      </c>
      <c r="G109" s="374">
        <f t="shared" ref="G109:G117" si="6">ROUND(F109/$C$6,2)</f>
        <v>45</v>
      </c>
    </row>
    <row r="110" spans="1:11" ht="12.75" customHeight="1" x14ac:dyDescent="0.3">
      <c r="A110" s="420" t="s">
        <v>262</v>
      </c>
      <c r="B110" s="471" t="s">
        <v>323</v>
      </c>
      <c r="C110" s="371">
        <f>C79</f>
        <v>773</v>
      </c>
      <c r="D110" s="465" t="s">
        <v>27</v>
      </c>
      <c r="E110" s="373">
        <v>5</v>
      </c>
      <c r="F110" s="373">
        <f t="shared" si="5"/>
        <v>3865</v>
      </c>
      <c r="G110" s="374">
        <f t="shared" si="6"/>
        <v>5</v>
      </c>
    </row>
    <row r="111" spans="1:11" ht="12.75" customHeight="1" x14ac:dyDescent="0.3">
      <c r="A111" s="420" t="s">
        <v>263</v>
      </c>
      <c r="B111" s="471" t="s">
        <v>326</v>
      </c>
      <c r="C111" s="371">
        <f>C79</f>
        <v>773</v>
      </c>
      <c r="D111" s="465" t="s">
        <v>27</v>
      </c>
      <c r="E111" s="373">
        <v>10</v>
      </c>
      <c r="F111" s="373">
        <f t="shared" si="5"/>
        <v>7730</v>
      </c>
      <c r="G111" s="374">
        <f t="shared" si="6"/>
        <v>10</v>
      </c>
    </row>
    <row r="112" spans="1:11" ht="12.75" customHeight="1" x14ac:dyDescent="0.3">
      <c r="A112" s="420" t="s">
        <v>264</v>
      </c>
      <c r="B112" s="471" t="s">
        <v>191</v>
      </c>
      <c r="C112" s="371">
        <v>3</v>
      </c>
      <c r="D112" s="465" t="s">
        <v>155</v>
      </c>
      <c r="E112" s="373">
        <v>500</v>
      </c>
      <c r="F112" s="373">
        <f t="shared" si="5"/>
        <v>1500</v>
      </c>
      <c r="G112" s="374">
        <f t="shared" si="6"/>
        <v>1.94</v>
      </c>
    </row>
    <row r="113" spans="1:7" ht="12.75" customHeight="1" x14ac:dyDescent="0.3">
      <c r="A113" s="420" t="s">
        <v>265</v>
      </c>
      <c r="B113" s="471" t="s">
        <v>192</v>
      </c>
      <c r="C113" s="371">
        <f>C79</f>
        <v>773</v>
      </c>
      <c r="D113" s="465" t="s">
        <v>27</v>
      </c>
      <c r="E113" s="373">
        <v>20</v>
      </c>
      <c r="F113" s="373">
        <f t="shared" si="5"/>
        <v>15460</v>
      </c>
      <c r="G113" s="374">
        <f t="shared" si="6"/>
        <v>20</v>
      </c>
    </row>
    <row r="114" spans="1:7" ht="12.75" customHeight="1" x14ac:dyDescent="0.3">
      <c r="A114" s="420" t="s">
        <v>266</v>
      </c>
      <c r="B114" s="471" t="s">
        <v>339</v>
      </c>
      <c r="C114" s="371">
        <v>1</v>
      </c>
      <c r="D114" s="465" t="s">
        <v>154</v>
      </c>
      <c r="E114" s="373">
        <v>5000</v>
      </c>
      <c r="F114" s="373">
        <f t="shared" si="5"/>
        <v>5000</v>
      </c>
      <c r="G114" s="374">
        <f t="shared" si="6"/>
        <v>6.47</v>
      </c>
    </row>
    <row r="115" spans="1:7" ht="12.75" customHeight="1" x14ac:dyDescent="0.3">
      <c r="A115" s="420" t="s">
        <v>267</v>
      </c>
      <c r="B115" s="471" t="s">
        <v>355</v>
      </c>
      <c r="C115" s="371">
        <v>10</v>
      </c>
      <c r="D115" s="465" t="s">
        <v>155</v>
      </c>
      <c r="E115" s="373">
        <v>125</v>
      </c>
      <c r="F115" s="373">
        <f t="shared" si="5"/>
        <v>1250</v>
      </c>
      <c r="G115" s="374">
        <f t="shared" si="6"/>
        <v>1.62</v>
      </c>
    </row>
    <row r="116" spans="1:7" ht="12.75" customHeight="1" x14ac:dyDescent="0.3">
      <c r="A116" s="420" t="s">
        <v>268</v>
      </c>
      <c r="B116" s="471" t="s">
        <v>356</v>
      </c>
      <c r="C116" s="371">
        <v>10</v>
      </c>
      <c r="D116" s="465" t="s">
        <v>155</v>
      </c>
      <c r="E116" s="373">
        <v>125</v>
      </c>
      <c r="F116" s="373">
        <f t="shared" si="5"/>
        <v>1250</v>
      </c>
      <c r="G116" s="374">
        <f t="shared" si="6"/>
        <v>1.62</v>
      </c>
    </row>
    <row r="117" spans="1:7" ht="12.75" customHeight="1" x14ac:dyDescent="0.3">
      <c r="A117" s="420" t="s">
        <v>269</v>
      </c>
      <c r="B117" s="471" t="s">
        <v>367</v>
      </c>
      <c r="C117" s="371">
        <v>1</v>
      </c>
      <c r="D117" s="465" t="s">
        <v>155</v>
      </c>
      <c r="E117" s="373">
        <v>1500</v>
      </c>
      <c r="F117" s="373">
        <f t="shared" si="5"/>
        <v>1500</v>
      </c>
      <c r="G117" s="374">
        <f t="shared" si="6"/>
        <v>1.94</v>
      </c>
    </row>
    <row r="118" spans="1:7" ht="12.75" customHeight="1" x14ac:dyDescent="0.3">
      <c r="A118" s="420" t="s">
        <v>270</v>
      </c>
      <c r="B118" s="471" t="s">
        <v>368</v>
      </c>
      <c r="C118" s="722" t="s">
        <v>156</v>
      </c>
      <c r="D118" s="534"/>
      <c r="E118" s="534"/>
      <c r="F118" s="534"/>
      <c r="G118" s="723"/>
    </row>
    <row r="119" spans="1:7" ht="12.75" customHeight="1" x14ac:dyDescent="0.3">
      <c r="A119" s="580">
        <v>10.5</v>
      </c>
      <c r="B119" s="582" t="s">
        <v>324</v>
      </c>
      <c r="C119" s="371"/>
      <c r="D119" s="465"/>
      <c r="E119" s="373"/>
      <c r="F119" s="373"/>
      <c r="G119" s="374"/>
    </row>
    <row r="120" spans="1:7" ht="12.75" customHeight="1" x14ac:dyDescent="0.3">
      <c r="A120" s="420" t="s">
        <v>273</v>
      </c>
      <c r="B120" s="471" t="s">
        <v>377</v>
      </c>
      <c r="C120" s="371">
        <v>1</v>
      </c>
      <c r="D120" s="465" t="s">
        <v>158</v>
      </c>
      <c r="E120" s="373">
        <v>35000</v>
      </c>
      <c r="F120" s="373">
        <f t="shared" si="5"/>
        <v>35000</v>
      </c>
      <c r="G120" s="374">
        <f>ROUND(F120/$C$6,2)</f>
        <v>45.28</v>
      </c>
    </row>
    <row r="121" spans="1:7" ht="12.75" customHeight="1" x14ac:dyDescent="0.3">
      <c r="A121" s="583">
        <v>10.6</v>
      </c>
      <c r="B121" s="584" t="s">
        <v>81</v>
      </c>
      <c r="C121" s="729" t="s">
        <v>156</v>
      </c>
      <c r="D121" s="730"/>
      <c r="E121" s="730"/>
      <c r="F121" s="730"/>
      <c r="G121" s="731"/>
    </row>
    <row r="122" spans="1:7" ht="12.75" customHeight="1" x14ac:dyDescent="0.3">
      <c r="A122" s="580">
        <v>10.7</v>
      </c>
      <c r="B122" s="582" t="s">
        <v>274</v>
      </c>
      <c r="C122" s="371"/>
      <c r="D122" s="465"/>
      <c r="E122" s="373"/>
      <c r="F122" s="373"/>
      <c r="G122" s="374"/>
    </row>
    <row r="123" spans="1:7" ht="12.75" customHeight="1" x14ac:dyDescent="0.3">
      <c r="A123" s="420" t="s">
        <v>275</v>
      </c>
      <c r="B123" s="471" t="s">
        <v>327</v>
      </c>
      <c r="C123" s="371">
        <f>C79</f>
        <v>773</v>
      </c>
      <c r="D123" s="465" t="s">
        <v>27</v>
      </c>
      <c r="E123" s="373">
        <v>5</v>
      </c>
      <c r="F123" s="373">
        <f t="shared" si="5"/>
        <v>3865</v>
      </c>
      <c r="G123" s="374">
        <f>ROUND(F123/$C$6,2)</f>
        <v>5</v>
      </c>
    </row>
    <row r="124" spans="1:7" ht="12.75" customHeight="1" x14ac:dyDescent="0.3">
      <c r="A124" s="420" t="s">
        <v>276</v>
      </c>
      <c r="B124" s="471" t="s">
        <v>357</v>
      </c>
      <c r="C124" s="371">
        <f>C79</f>
        <v>773</v>
      </c>
      <c r="D124" s="465" t="s">
        <v>27</v>
      </c>
      <c r="E124" s="373">
        <v>15</v>
      </c>
      <c r="F124" s="373">
        <f t="shared" si="5"/>
        <v>11595</v>
      </c>
      <c r="G124" s="374">
        <f>ROUND(F124/$C$6,2)</f>
        <v>15</v>
      </c>
    </row>
    <row r="125" spans="1:7" ht="12.75" customHeight="1" x14ac:dyDescent="0.3">
      <c r="A125" s="420" t="s">
        <v>277</v>
      </c>
      <c r="B125" s="471" t="s">
        <v>358</v>
      </c>
      <c r="C125" s="371">
        <v>1</v>
      </c>
      <c r="D125" s="465" t="s">
        <v>158</v>
      </c>
      <c r="E125" s="373">
        <v>6000</v>
      </c>
      <c r="F125" s="373">
        <f t="shared" si="5"/>
        <v>6000</v>
      </c>
      <c r="G125" s="374">
        <f>ROUND(F125/$C$6,2)</f>
        <v>7.76</v>
      </c>
    </row>
    <row r="126" spans="1:7" ht="12.75" customHeight="1" x14ac:dyDescent="0.3">
      <c r="A126" s="580">
        <v>10.8</v>
      </c>
      <c r="B126" s="582" t="s">
        <v>279</v>
      </c>
      <c r="C126" s="371"/>
      <c r="D126" s="465"/>
      <c r="E126" s="373"/>
      <c r="F126" s="373"/>
      <c r="G126" s="374"/>
    </row>
    <row r="127" spans="1:7" ht="12.75" customHeight="1" x14ac:dyDescent="0.3">
      <c r="A127" s="420" t="s">
        <v>280</v>
      </c>
      <c r="B127" s="471" t="s">
        <v>319</v>
      </c>
      <c r="C127" s="722" t="s">
        <v>156</v>
      </c>
      <c r="D127" s="534"/>
      <c r="E127" s="534"/>
      <c r="F127" s="534"/>
      <c r="G127" s="723"/>
    </row>
    <row r="128" spans="1:7" ht="12.75" customHeight="1" x14ac:dyDescent="0.3">
      <c r="A128" s="420" t="s">
        <v>281</v>
      </c>
      <c r="B128" s="471" t="s">
        <v>321</v>
      </c>
      <c r="C128" s="371">
        <f>C79</f>
        <v>773</v>
      </c>
      <c r="D128" s="465" t="s">
        <v>27</v>
      </c>
      <c r="E128" s="373">
        <v>20</v>
      </c>
      <c r="F128" s="373">
        <f t="shared" si="5"/>
        <v>15460</v>
      </c>
      <c r="G128" s="374">
        <f>ROUND(F128/$C$6,2)</f>
        <v>20</v>
      </c>
    </row>
    <row r="129" spans="1:7" ht="12.75" customHeight="1" x14ac:dyDescent="0.3">
      <c r="A129" s="420" t="s">
        <v>282</v>
      </c>
      <c r="B129" s="471" t="s">
        <v>381</v>
      </c>
      <c r="C129" s="371">
        <v>1</v>
      </c>
      <c r="D129" s="465" t="s">
        <v>158</v>
      </c>
      <c r="E129" s="373">
        <f>35*250+1250</f>
        <v>10000</v>
      </c>
      <c r="F129" s="373">
        <f t="shared" si="5"/>
        <v>10000</v>
      </c>
      <c r="G129" s="374">
        <f>ROUND(F129/$C$6,2)</f>
        <v>12.94</v>
      </c>
    </row>
    <row r="130" spans="1:7" ht="12.75" customHeight="1" x14ac:dyDescent="0.3">
      <c r="A130" s="420" t="s">
        <v>283</v>
      </c>
      <c r="B130" s="471" t="s">
        <v>359</v>
      </c>
      <c r="C130" s="371">
        <f>C79</f>
        <v>773</v>
      </c>
      <c r="D130" s="465" t="s">
        <v>27</v>
      </c>
      <c r="E130" s="373">
        <v>25</v>
      </c>
      <c r="F130" s="373">
        <f t="shared" si="5"/>
        <v>19325</v>
      </c>
      <c r="G130" s="374">
        <f>ROUND(F130/$C$6,2)</f>
        <v>25</v>
      </c>
    </row>
    <row r="131" spans="1:7" ht="12.75" customHeight="1" x14ac:dyDescent="0.3">
      <c r="A131" s="580">
        <v>10.9</v>
      </c>
      <c r="B131" s="582" t="s">
        <v>284</v>
      </c>
      <c r="C131" s="371"/>
      <c r="D131" s="465"/>
      <c r="E131" s="373"/>
      <c r="F131" s="373"/>
      <c r="G131" s="374"/>
    </row>
    <row r="132" spans="1:7" ht="12.75" customHeight="1" x14ac:dyDescent="0.3">
      <c r="A132" s="420" t="s">
        <v>302</v>
      </c>
      <c r="B132" s="471" t="s">
        <v>320</v>
      </c>
      <c r="C132" s="371">
        <f>C79</f>
        <v>773</v>
      </c>
      <c r="D132" s="465" t="s">
        <v>27</v>
      </c>
      <c r="E132" s="373">
        <v>25</v>
      </c>
      <c r="F132" s="373">
        <f t="shared" si="5"/>
        <v>19325</v>
      </c>
      <c r="G132" s="374">
        <f>ROUND(F132/$C$6,2)</f>
        <v>25</v>
      </c>
    </row>
    <row r="133" spans="1:7" ht="12.75" customHeight="1" x14ac:dyDescent="0.3">
      <c r="A133" s="435">
        <v>10.1</v>
      </c>
      <c r="B133" s="582" t="s">
        <v>211</v>
      </c>
      <c r="C133" s="371">
        <v>10</v>
      </c>
      <c r="D133" s="465" t="s">
        <v>59</v>
      </c>
      <c r="E133" s="373">
        <f>SUM(F92:F132)</f>
        <v>445253</v>
      </c>
      <c r="F133" s="373">
        <f>ROUND(C133*E133/100,0)</f>
        <v>44525</v>
      </c>
      <c r="G133" s="374">
        <f>ROUND(F133/$C$6,2)</f>
        <v>57.6</v>
      </c>
    </row>
    <row r="134" spans="1:7" ht="12.75" customHeight="1" x14ac:dyDescent="0.3">
      <c r="A134" s="530"/>
      <c r="B134" s="561"/>
      <c r="C134" s="371"/>
      <c r="D134" s="562"/>
      <c r="E134" s="510"/>
      <c r="F134" s="510"/>
      <c r="G134" s="391"/>
    </row>
    <row r="135" spans="1:7" ht="12.75" customHeight="1" x14ac:dyDescent="0.3">
      <c r="A135" s="513">
        <f>+A90</f>
        <v>10</v>
      </c>
      <c r="B135" s="514" t="s">
        <v>169</v>
      </c>
      <c r="C135" s="515"/>
      <c r="D135" s="516"/>
      <c r="E135" s="517"/>
      <c r="F135" s="517">
        <f>ROUND(SUM(F89:F134),-3)</f>
        <v>490000</v>
      </c>
      <c r="G135" s="518">
        <f>F135/$C$6</f>
        <v>633.89391979301422</v>
      </c>
    </row>
    <row r="136" spans="1:7" ht="12.75" customHeight="1" x14ac:dyDescent="0.3">
      <c r="A136" s="560"/>
      <c r="B136" s="526"/>
      <c r="C136" s="417"/>
      <c r="D136" s="532"/>
      <c r="E136" s="510"/>
      <c r="F136" s="510"/>
      <c r="G136" s="391"/>
    </row>
    <row r="137" spans="1:7" ht="12.75" customHeight="1" x14ac:dyDescent="0.3">
      <c r="A137" s="536">
        <v>11</v>
      </c>
      <c r="B137" s="526" t="s">
        <v>240</v>
      </c>
      <c r="C137" s="417"/>
      <c r="D137" s="532"/>
      <c r="E137" s="510"/>
      <c r="F137" s="510"/>
      <c r="G137" s="391"/>
    </row>
    <row r="138" spans="1:7" ht="12.75" customHeight="1" x14ac:dyDescent="0.3">
      <c r="A138" s="370">
        <v>11.1</v>
      </c>
      <c r="B138" s="531" t="s">
        <v>379</v>
      </c>
      <c r="C138" s="417">
        <v>1</v>
      </c>
      <c r="D138" s="532" t="s">
        <v>158</v>
      </c>
      <c r="E138" s="510">
        <v>40000</v>
      </c>
      <c r="F138" s="373">
        <f>C138*E138</f>
        <v>40000</v>
      </c>
      <c r="G138" s="391">
        <f>ROUND(F138/$C$6,2)</f>
        <v>51.75</v>
      </c>
    </row>
    <row r="139" spans="1:7" ht="12.75" customHeight="1" x14ac:dyDescent="0.3">
      <c r="A139" s="370">
        <f>A138+0.1</f>
        <v>11.2</v>
      </c>
      <c r="B139" s="531" t="s">
        <v>322</v>
      </c>
      <c r="C139" s="417">
        <v>1</v>
      </c>
      <c r="D139" s="532" t="s">
        <v>158</v>
      </c>
      <c r="E139" s="510">
        <v>10000</v>
      </c>
      <c r="F139" s="373">
        <f>C139*E139</f>
        <v>10000</v>
      </c>
      <c r="G139" s="391">
        <f>ROUND(F139/$C$6,2)</f>
        <v>12.94</v>
      </c>
    </row>
    <row r="140" spans="1:7" ht="12.75" customHeight="1" x14ac:dyDescent="0.3">
      <c r="A140" s="370">
        <v>11.3</v>
      </c>
      <c r="B140" s="531" t="s">
        <v>335</v>
      </c>
      <c r="C140" s="417">
        <v>1</v>
      </c>
      <c r="D140" s="532" t="s">
        <v>158</v>
      </c>
      <c r="E140" s="510">
        <v>5000</v>
      </c>
      <c r="F140" s="373">
        <f>C140*E140</f>
        <v>5000</v>
      </c>
      <c r="G140" s="391">
        <f>ROUND(F140/$C$6,2)</f>
        <v>6.47</v>
      </c>
    </row>
    <row r="141" spans="1:7" ht="12.75" customHeight="1" x14ac:dyDescent="0.3">
      <c r="A141" s="370">
        <v>11.4</v>
      </c>
      <c r="B141" s="531" t="s">
        <v>336</v>
      </c>
      <c r="C141" s="563">
        <v>1</v>
      </c>
      <c r="D141" s="532" t="s">
        <v>158</v>
      </c>
      <c r="E141" s="564">
        <v>20000</v>
      </c>
      <c r="F141" s="373">
        <f>C141*E141</f>
        <v>20000</v>
      </c>
      <c r="G141" s="391">
        <f>ROUND(F141/$C$6,2)</f>
        <v>25.87</v>
      </c>
    </row>
    <row r="142" spans="1:7" ht="12.75" customHeight="1" x14ac:dyDescent="0.3">
      <c r="A142" s="370">
        <v>11.5</v>
      </c>
      <c r="B142" s="502" t="s">
        <v>380</v>
      </c>
      <c r="C142" s="563">
        <v>1</v>
      </c>
      <c r="D142" s="532" t="s">
        <v>158</v>
      </c>
      <c r="E142" s="564">
        <v>30000</v>
      </c>
      <c r="F142" s="373">
        <f>C142*E142</f>
        <v>30000</v>
      </c>
      <c r="G142" s="391">
        <f>ROUND(F142/$C$6,2)</f>
        <v>38.81</v>
      </c>
    </row>
    <row r="143" spans="1:7" ht="12.75" customHeight="1" x14ac:dyDescent="0.3">
      <c r="A143" s="530"/>
      <c r="B143" s="541"/>
      <c r="C143" s="371"/>
      <c r="D143" s="562"/>
      <c r="E143" s="510"/>
      <c r="F143" s="510"/>
      <c r="G143" s="391"/>
    </row>
    <row r="144" spans="1:7" ht="12.75" customHeight="1" thickBot="1" x14ac:dyDescent="0.35">
      <c r="A144" s="565">
        <f>+A137</f>
        <v>11</v>
      </c>
      <c r="B144" s="566" t="s">
        <v>169</v>
      </c>
      <c r="C144" s="550"/>
      <c r="D144" s="551"/>
      <c r="E144" s="552"/>
      <c r="F144" s="552">
        <f>ROUND(SUM(F136:F142),-3)</f>
        <v>105000</v>
      </c>
      <c r="G144" s="553">
        <f>F144/$C$6</f>
        <v>135.83441138421733</v>
      </c>
    </row>
    <row r="145" spans="1:7" ht="12.75" customHeight="1" thickBot="1" x14ac:dyDescent="0.35">
      <c r="A145" s="567"/>
      <c r="B145" s="568"/>
      <c r="C145" s="569"/>
      <c r="D145" s="570"/>
      <c r="E145" s="569"/>
      <c r="F145" s="569"/>
      <c r="G145" s="571"/>
    </row>
    <row r="146" spans="1:7" ht="12.75" customHeight="1" thickBot="1" x14ac:dyDescent="0.35">
      <c r="A146" s="572">
        <v>12</v>
      </c>
      <c r="B146" s="573" t="s">
        <v>216</v>
      </c>
      <c r="C146" s="574"/>
      <c r="D146" s="575"/>
      <c r="E146" s="576"/>
      <c r="F146" s="576">
        <f>ROUND(F144+F135+F88+F83+F74+F68+F56+F49+F41+F32+F26,-3)</f>
        <v>2279000</v>
      </c>
      <c r="G146" s="577">
        <f>F146/$C$6</f>
        <v>2948.2535575679171</v>
      </c>
    </row>
  </sheetData>
  <sheetProtection selectLockedCells="1"/>
  <customSheetViews>
    <customSheetView guid="{2B0692CF-4177-422C-A620-ABA6158FDE4D}" scale="85" showPageBreaks="1" fitToPage="1" printArea="1" state="hidden" view="pageBreakPreview">
      <pane ySplit="7" topLeftCell="A8" activePane="bottomLeft" state="frozen"/>
      <selection pane="bottomLeft" activeCell="C1" sqref="C1"/>
      <rowBreaks count="2" manualBreakCount="2">
        <brk id="68" max="6" man="1"/>
        <brk id="121" max="6" man="1"/>
      </rowBreaks>
      <pageMargins left="0.74803149606299213" right="0.55118110236220474" top="0.78740157480314965" bottom="0.19685039370078741" header="0.51181102362204722" footer="0.51181102362204722"/>
      <pageSetup paperSize="8" scale="91" firstPageNumber="9" fitToHeight="0" orientation="landscape" cellComments="asDisplayed" useFirstPageNumber="1" r:id="rId1"/>
      <headerFooter alignWithMargins="0"/>
    </customSheetView>
    <customSheetView guid="{6C33A4D3-AF33-443C-A522-C1A990C51A36}" scale="85" showPageBreaks="1" fitToPage="1" printArea="1" state="hidden" view="pageBreakPreview">
      <pane ySplit="7" topLeftCell="A8" activePane="bottomLeft" state="frozen"/>
      <selection pane="bottomLeft" activeCell="C1" sqref="C1"/>
      <rowBreaks count="2" manualBreakCount="2">
        <brk id="68" max="6" man="1"/>
        <brk id="121" max="6" man="1"/>
      </rowBreaks>
      <pageMargins left="0.74803149606299213" right="0.55118110236220474" top="0.78740157480314965" bottom="0.19685039370078741" header="0.51181102362204722" footer="0.51181102362204722"/>
      <pageSetup paperSize="8" scale="91" firstPageNumber="9" fitToHeight="0" orientation="landscape" cellComments="asDisplayed" useFirstPageNumber="1" r:id="rId2"/>
      <headerFooter alignWithMargins="0"/>
    </customSheetView>
  </customSheetViews>
  <mergeCells count="5">
    <mergeCell ref="C38:G38"/>
    <mergeCell ref="F2:G2"/>
    <mergeCell ref="C72:G72"/>
    <mergeCell ref="C77:G77"/>
    <mergeCell ref="C81:G81"/>
  </mergeCells>
  <pageMargins left="0.74803149606299213" right="0.55118110236220474" top="0.78740157480314965" bottom="0.19685039370078741" header="0.51181102362204722" footer="0.51181102362204722"/>
  <pageSetup paperSize="8" scale="58" firstPageNumber="9" fitToHeight="0" orientation="landscape" cellComments="asDisplayed" useFirstPageNumber="1" r:id="rId3"/>
  <headerFooter alignWithMargins="0"/>
  <rowBreaks count="2" manualBreakCount="2">
    <brk id="68" max="6" man="1"/>
    <brk id="121" max="6" man="1"/>
  </rowBreaks>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4:M26"/>
  <sheetViews>
    <sheetView view="pageBreakPreview" zoomScaleNormal="100" zoomScaleSheetLayoutView="100" workbookViewId="0">
      <selection activeCell="I24" sqref="I24"/>
    </sheetView>
  </sheetViews>
  <sheetFormatPr defaultColWidth="9" defaultRowHeight="12.75" customHeight="1" x14ac:dyDescent="0.25"/>
  <cols>
    <col min="1" max="1" width="10.83203125" style="6" customWidth="1"/>
    <col min="2" max="12" width="9" style="6"/>
    <col min="13" max="13" width="9.6640625" style="6" customWidth="1"/>
    <col min="14" max="16384" width="9" style="6"/>
  </cols>
  <sheetData>
    <row r="4" spans="1:13" ht="12.75" customHeight="1" x14ac:dyDescent="0.25">
      <c r="B4" s="4"/>
      <c r="C4" s="3"/>
    </row>
    <row r="5" spans="1:13" ht="19" x14ac:dyDescent="0.4">
      <c r="A5" s="1357"/>
      <c r="B5" s="1357"/>
      <c r="C5" s="1357"/>
      <c r="D5" s="1357"/>
      <c r="E5" s="1357"/>
      <c r="F5" s="1357"/>
      <c r="G5" s="1357"/>
      <c r="H5" s="1357"/>
      <c r="I5" s="1357"/>
      <c r="J5" s="1357"/>
      <c r="K5" s="1357"/>
      <c r="L5" s="1357"/>
      <c r="M5" s="1357"/>
    </row>
    <row r="6" spans="1:13" ht="12.75" customHeight="1" x14ac:dyDescent="0.3">
      <c r="A6" s="16"/>
      <c r="B6" s="16"/>
      <c r="C6" s="16"/>
      <c r="D6" s="16"/>
      <c r="E6" s="16"/>
      <c r="F6" s="16"/>
      <c r="G6" s="16"/>
      <c r="H6" s="16"/>
      <c r="I6" s="16"/>
      <c r="J6" s="16"/>
      <c r="K6" s="16"/>
      <c r="L6" s="16"/>
      <c r="M6" s="16"/>
    </row>
    <row r="7" spans="1:13" ht="12.75" customHeight="1" x14ac:dyDescent="0.3">
      <c r="A7" s="16"/>
      <c r="B7" s="16"/>
      <c r="C7" s="16"/>
      <c r="D7" s="16"/>
      <c r="E7" s="16"/>
      <c r="F7" s="16"/>
      <c r="G7" s="16"/>
      <c r="H7" s="16"/>
      <c r="I7" s="16"/>
      <c r="J7" s="16"/>
      <c r="K7" s="16"/>
      <c r="L7" s="16"/>
      <c r="M7" s="16"/>
    </row>
    <row r="8" spans="1:13" ht="12.75" customHeight="1" x14ac:dyDescent="0.3">
      <c r="A8" s="16"/>
      <c r="B8" s="16"/>
      <c r="C8" s="16"/>
      <c r="D8" s="16"/>
      <c r="E8" s="16"/>
      <c r="F8" s="16"/>
      <c r="G8" s="16"/>
      <c r="H8" s="16"/>
      <c r="I8" s="16"/>
      <c r="J8" s="16"/>
      <c r="K8" s="16"/>
      <c r="L8" s="16"/>
      <c r="M8" s="16"/>
    </row>
    <row r="9" spans="1:13" ht="12.75" customHeight="1" x14ac:dyDescent="0.25">
      <c r="B9" s="4"/>
      <c r="C9" s="2"/>
    </row>
    <row r="10" spans="1:13" ht="12.75" customHeight="1" x14ac:dyDescent="0.3">
      <c r="B10" s="4"/>
      <c r="C10" s="5"/>
    </row>
    <row r="11" spans="1:13" ht="12.75" customHeight="1" x14ac:dyDescent="0.3">
      <c r="B11" s="4"/>
      <c r="C11" s="5"/>
    </row>
    <row r="12" spans="1:13" ht="12.75" customHeight="1" x14ac:dyDescent="0.3">
      <c r="B12" s="4"/>
      <c r="C12" s="5"/>
    </row>
    <row r="13" spans="1:13" ht="12.75" customHeight="1" x14ac:dyDescent="0.3">
      <c r="B13" s="4"/>
      <c r="C13" s="5"/>
    </row>
    <row r="14" spans="1:13" ht="19" x14ac:dyDescent="0.4">
      <c r="A14" s="1357"/>
      <c r="B14" s="1357"/>
      <c r="C14" s="1357"/>
      <c r="D14" s="1357"/>
      <c r="E14" s="1357"/>
      <c r="F14" s="1357"/>
      <c r="G14" s="1357"/>
      <c r="H14" s="1357"/>
      <c r="I14" s="1357"/>
      <c r="J14" s="1357"/>
      <c r="K14" s="1357"/>
      <c r="L14" s="1357"/>
      <c r="M14" s="1357"/>
    </row>
    <row r="15" spans="1:13" ht="12.75" customHeight="1" x14ac:dyDescent="0.3">
      <c r="A15" s="16"/>
      <c r="B15" s="16"/>
      <c r="C15" s="16"/>
      <c r="D15" s="16"/>
      <c r="E15" s="16"/>
      <c r="F15" s="16"/>
      <c r="G15" s="16"/>
      <c r="H15" s="16"/>
      <c r="I15" s="16"/>
      <c r="J15" s="16"/>
      <c r="K15" s="16"/>
      <c r="L15" s="16"/>
      <c r="M15" s="16"/>
    </row>
    <row r="16" spans="1:13" ht="12.75" customHeight="1" x14ac:dyDescent="0.3">
      <c r="A16" s="16"/>
      <c r="B16" s="16"/>
      <c r="C16" s="16"/>
      <c r="D16" s="16"/>
      <c r="E16" s="16"/>
      <c r="F16" s="16"/>
      <c r="G16" s="16"/>
      <c r="H16" s="16"/>
      <c r="I16" s="16"/>
      <c r="J16" s="16"/>
      <c r="K16" s="16"/>
      <c r="L16" s="16"/>
      <c r="M16" s="16"/>
    </row>
    <row r="17" spans="1:13" ht="12.75" customHeight="1" x14ac:dyDescent="0.3">
      <c r="A17" s="16"/>
      <c r="B17" s="16"/>
      <c r="C17" s="16"/>
      <c r="D17" s="16"/>
      <c r="E17" s="16"/>
      <c r="F17" s="16"/>
      <c r="G17" s="16"/>
      <c r="H17" s="16"/>
      <c r="I17" s="16"/>
      <c r="J17" s="16"/>
      <c r="K17" s="16"/>
      <c r="L17" s="16"/>
      <c r="M17" s="16"/>
    </row>
    <row r="18" spans="1:13" ht="12.75" customHeight="1" x14ac:dyDescent="0.25">
      <c r="B18" s="4"/>
      <c r="C18" s="2"/>
    </row>
    <row r="19" spans="1:13" ht="12.75" customHeight="1" x14ac:dyDescent="0.3">
      <c r="B19" s="4"/>
      <c r="C19" s="5"/>
    </row>
    <row r="20" spans="1:13" ht="12.75" customHeight="1" x14ac:dyDescent="0.3">
      <c r="B20" s="4"/>
      <c r="C20" s="5"/>
    </row>
    <row r="21" spans="1:13" ht="12.75" customHeight="1" x14ac:dyDescent="0.3">
      <c r="B21" s="4"/>
      <c r="C21" s="5"/>
    </row>
    <row r="22" spans="1:13" ht="12.75" customHeight="1" x14ac:dyDescent="0.3">
      <c r="B22" s="4"/>
      <c r="C22" s="5"/>
    </row>
    <row r="23" spans="1:13" ht="19" x14ac:dyDescent="0.4">
      <c r="A23" s="1357"/>
      <c r="B23" s="1357"/>
      <c r="C23" s="1357"/>
      <c r="D23" s="1357"/>
      <c r="E23" s="1357"/>
      <c r="F23" s="1357"/>
      <c r="G23" s="1357"/>
      <c r="H23" s="1357"/>
      <c r="I23" s="1357"/>
      <c r="J23" s="1357"/>
      <c r="K23" s="1357"/>
      <c r="L23" s="1357"/>
      <c r="M23" s="1357"/>
    </row>
    <row r="24" spans="1:13" ht="12.75" customHeight="1" x14ac:dyDescent="0.3">
      <c r="A24" s="16"/>
      <c r="B24" s="16"/>
      <c r="C24" s="16"/>
      <c r="D24" s="16"/>
      <c r="E24" s="16"/>
      <c r="F24" s="16"/>
      <c r="G24" s="16"/>
      <c r="H24" s="16"/>
      <c r="I24" s="16"/>
      <c r="J24" s="16"/>
      <c r="K24" s="16"/>
      <c r="L24" s="16"/>
      <c r="M24" s="16"/>
    </row>
    <row r="25" spans="1:13" ht="12.75" customHeight="1" x14ac:dyDescent="0.3">
      <c r="A25" s="16"/>
      <c r="B25" s="16"/>
      <c r="C25" s="16"/>
      <c r="D25" s="16"/>
      <c r="E25" s="16"/>
      <c r="F25" s="16"/>
      <c r="G25" s="16"/>
      <c r="H25" s="16"/>
      <c r="I25" s="16"/>
      <c r="J25" s="16"/>
      <c r="K25" s="16"/>
      <c r="L25" s="16"/>
      <c r="M25" s="16"/>
    </row>
    <row r="26" spans="1:13" ht="12.75" customHeight="1" x14ac:dyDescent="0.3">
      <c r="A26" s="16"/>
      <c r="B26" s="16"/>
      <c r="C26" s="16"/>
      <c r="D26" s="16"/>
      <c r="E26" s="16"/>
      <c r="F26" s="16"/>
      <c r="G26" s="16"/>
      <c r="H26" s="16"/>
      <c r="I26" s="16"/>
      <c r="J26" s="16"/>
      <c r="K26" s="16"/>
      <c r="L26" s="16"/>
      <c r="M26" s="16"/>
    </row>
  </sheetData>
  <customSheetViews>
    <customSheetView guid="{2B0692CF-4177-422C-A620-ABA6158FDE4D}" showPageBreaks="1" printArea="1" state="hidden" view="pageBreakPreview">
      <selection activeCell="I24" sqref="I24"/>
      <rowBreaks count="2" manualBreakCount="2">
        <brk id="9" max="12" man="1"/>
        <brk id="18" max="12" man="1"/>
      </rowBreaks>
      <pageMargins left="0.62992125984251968" right="0.55118110236220474" top="1.1023622047244095" bottom="0.70866141732283472" header="0" footer="0.15748031496062992"/>
      <printOptions verticalCentered="1"/>
      <pageSetup paperSize="9" orientation="landscape" cellComments="asDisplayed" r:id="rId1"/>
      <headerFooter alignWithMargins="0">
        <oddHeader>&amp;L&amp;"Arial,Bold"&amp;7Davis Langdon, An AECOM Company</oddHeader>
        <oddFooter>&amp;L&amp;"Arial,Bold"&amp;7Program, Cost, Consultancy
&amp;"Arial,Regular"www.davislangdon.com
www.aecom.com</oddFooter>
      </headerFooter>
    </customSheetView>
    <customSheetView guid="{6C33A4D3-AF33-443C-A522-C1A990C51A36}" showPageBreaks="1" printArea="1" state="hidden" view="pageBreakPreview">
      <selection activeCell="I24" sqref="I24"/>
      <rowBreaks count="2" manualBreakCount="2">
        <brk id="9" max="12" man="1"/>
        <brk id="18" max="12" man="1"/>
      </rowBreaks>
      <pageMargins left="0.62992125984251968" right="0.55118110236220474" top="1.1023622047244095" bottom="0.70866141732283472" header="0" footer="0.15748031496062992"/>
      <printOptions verticalCentered="1"/>
      <pageSetup paperSize="9" orientation="landscape" cellComments="asDisplayed" r:id="rId2"/>
      <headerFooter alignWithMargins="0">
        <oddHeader>&amp;L&amp;"Arial,Bold"&amp;7Davis Langdon, An AECOM Company</oddHeader>
        <oddFooter>&amp;L&amp;"Arial,Bold"&amp;7Program, Cost, Consultancy
&amp;"Arial,Regular"www.davislangdon.com
www.aecom.com</oddFooter>
      </headerFooter>
    </customSheetView>
  </customSheetViews>
  <mergeCells count="3">
    <mergeCell ref="A14:M14"/>
    <mergeCell ref="A5:M5"/>
    <mergeCell ref="A23:M23"/>
  </mergeCells>
  <phoneticPr fontId="4" type="noConversion"/>
  <printOptions verticalCentered="1"/>
  <pageMargins left="0.62992125984251968" right="0.55118110236220474" top="1.1023622047244095" bottom="0.70866141732283472" header="0" footer="0.15748031496062992"/>
  <pageSetup paperSize="9" orientation="landscape" cellComments="asDisplayed" r:id="rId3"/>
  <headerFooter alignWithMargins="0">
    <oddHeader>&amp;L&amp;"Arial,Bold"&amp;7Davis Langdon, An AECOM Company</oddHeader>
    <oddFooter>&amp;L&amp;"Arial,Bold"&amp;7Program, Cost, Consultancy
&amp;"Arial,Regular"www.davislangdon.com
www.aecom.com</oddFooter>
  </headerFooter>
  <rowBreaks count="2" manualBreakCount="2">
    <brk id="9" max="12" man="1"/>
    <brk id="18"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51"/>
  <sheetViews>
    <sheetView view="pageBreakPreview" topLeftCell="A37" zoomScaleNormal="100" zoomScaleSheetLayoutView="100" workbookViewId="0">
      <selection activeCell="D10" sqref="D10"/>
    </sheetView>
  </sheetViews>
  <sheetFormatPr defaultRowHeight="14" x14ac:dyDescent="0.3"/>
  <cols>
    <col min="9" max="9" width="11.08203125" customWidth="1"/>
  </cols>
  <sheetData>
    <row r="1" spans="1:9" x14ac:dyDescent="0.3">
      <c r="A1" s="1272" t="s">
        <v>786</v>
      </c>
    </row>
    <row r="2" spans="1:9" x14ac:dyDescent="0.3">
      <c r="A2" s="1272" t="s">
        <v>787</v>
      </c>
    </row>
    <row r="3" spans="1:9" x14ac:dyDescent="0.3">
      <c r="A3" s="1272"/>
    </row>
    <row r="4" spans="1:9" x14ac:dyDescent="0.3">
      <c r="A4" s="1272" t="s">
        <v>814</v>
      </c>
    </row>
    <row r="5" spans="1:9" x14ac:dyDescent="0.3">
      <c r="A5" s="1358" t="s">
        <v>815</v>
      </c>
      <c r="B5" s="1358"/>
      <c r="C5" s="1358"/>
      <c r="D5" s="1358"/>
      <c r="E5" s="1358"/>
      <c r="F5" s="1358"/>
      <c r="G5" s="1358"/>
      <c r="H5" s="1358"/>
      <c r="I5" s="1358"/>
    </row>
    <row r="6" spans="1:9" x14ac:dyDescent="0.3">
      <c r="A6" s="1358"/>
      <c r="B6" s="1358"/>
      <c r="C6" s="1358"/>
      <c r="D6" s="1358"/>
      <c r="E6" s="1358"/>
      <c r="F6" s="1358"/>
      <c r="G6" s="1358"/>
      <c r="H6" s="1358"/>
      <c r="I6" s="1358"/>
    </row>
    <row r="7" spans="1:9" x14ac:dyDescent="0.3">
      <c r="A7" s="1272"/>
    </row>
    <row r="8" spans="1:9" x14ac:dyDescent="0.3">
      <c r="A8" s="1272" t="s">
        <v>788</v>
      </c>
      <c r="D8" s="1272" t="s">
        <v>816</v>
      </c>
    </row>
    <row r="10" spans="1:9" x14ac:dyDescent="0.3">
      <c r="A10" s="1272" t="s">
        <v>789</v>
      </c>
    </row>
    <row r="11" spans="1:9" x14ac:dyDescent="0.3">
      <c r="C11" s="1273" t="s">
        <v>790</v>
      </c>
    </row>
    <row r="12" spans="1:9" x14ac:dyDescent="0.3">
      <c r="C12" s="1273" t="s">
        <v>791</v>
      </c>
    </row>
    <row r="13" spans="1:9" x14ac:dyDescent="0.3">
      <c r="C13" s="1273" t="s">
        <v>792</v>
      </c>
    </row>
    <row r="14" spans="1:9" x14ac:dyDescent="0.3">
      <c r="C14" s="1273" t="s">
        <v>793</v>
      </c>
    </row>
    <row r="15" spans="1:9" x14ac:dyDescent="0.3">
      <c r="C15" s="1273" t="s">
        <v>794</v>
      </c>
    </row>
    <row r="16" spans="1:9" x14ac:dyDescent="0.3">
      <c r="C16" s="1273" t="s">
        <v>795</v>
      </c>
    </row>
    <row r="17" spans="1:9" x14ac:dyDescent="0.3">
      <c r="C17" s="1273" t="s">
        <v>796</v>
      </c>
    </row>
    <row r="19" spans="1:9" x14ac:dyDescent="0.3">
      <c r="A19" s="1274" t="s">
        <v>786</v>
      </c>
    </row>
    <row r="21" spans="1:9" x14ac:dyDescent="0.3">
      <c r="A21" s="1272" t="s">
        <v>797</v>
      </c>
      <c r="B21" s="1272" t="s">
        <v>811</v>
      </c>
    </row>
    <row r="22" spans="1:9" x14ac:dyDescent="0.3">
      <c r="A22" s="1272"/>
      <c r="B22" s="1272" t="s">
        <v>813</v>
      </c>
    </row>
    <row r="24" spans="1:9" x14ac:dyDescent="0.3">
      <c r="A24" s="1272" t="s">
        <v>798</v>
      </c>
      <c r="B24" s="1273"/>
    </row>
    <row r="26" spans="1:9" x14ac:dyDescent="0.3">
      <c r="A26" s="1273">
        <v>1</v>
      </c>
      <c r="B26" s="1359" t="s">
        <v>799</v>
      </c>
      <c r="C26" s="1359"/>
      <c r="D26" s="1359"/>
      <c r="E26" s="1359"/>
      <c r="F26" s="1359"/>
      <c r="G26" s="1359"/>
      <c r="H26" s="1359"/>
      <c r="I26" s="1359"/>
    </row>
    <row r="27" spans="1:9" x14ac:dyDescent="0.3">
      <c r="B27" s="1359"/>
      <c r="C27" s="1359"/>
      <c r="D27" s="1359"/>
      <c r="E27" s="1359"/>
      <c r="F27" s="1359"/>
      <c r="G27" s="1359"/>
      <c r="H27" s="1359"/>
      <c r="I27" s="1359"/>
    </row>
    <row r="28" spans="1:9" x14ac:dyDescent="0.3">
      <c r="B28" s="1359"/>
      <c r="C28" s="1359"/>
      <c r="D28" s="1359"/>
      <c r="E28" s="1359"/>
      <c r="F28" s="1359"/>
      <c r="G28" s="1359"/>
      <c r="H28" s="1359"/>
      <c r="I28" s="1359"/>
    </row>
    <row r="29" spans="1:9" x14ac:dyDescent="0.3">
      <c r="B29" s="1359"/>
      <c r="C29" s="1359"/>
      <c r="D29" s="1359"/>
      <c r="E29" s="1359"/>
      <c r="F29" s="1359"/>
      <c r="G29" s="1359"/>
      <c r="H29" s="1359"/>
      <c r="I29" s="1359"/>
    </row>
    <row r="31" spans="1:9" x14ac:dyDescent="0.3">
      <c r="A31">
        <v>2</v>
      </c>
      <c r="B31" s="1359" t="s">
        <v>800</v>
      </c>
      <c r="C31" s="1359"/>
      <c r="D31" s="1359"/>
      <c r="E31" s="1359"/>
      <c r="F31" s="1359"/>
      <c r="G31" s="1359"/>
      <c r="H31" s="1359"/>
      <c r="I31" s="1359"/>
    </row>
    <row r="32" spans="1:9" x14ac:dyDescent="0.3">
      <c r="B32" s="1359"/>
      <c r="C32" s="1359"/>
      <c r="D32" s="1359"/>
      <c r="E32" s="1359"/>
      <c r="F32" s="1359"/>
      <c r="G32" s="1359"/>
      <c r="H32" s="1359"/>
      <c r="I32" s="1359"/>
    </row>
    <row r="34" spans="1:9" ht="13.75" customHeight="1" x14ac:dyDescent="0.3">
      <c r="A34" s="1273">
        <v>3</v>
      </c>
      <c r="B34" s="1359" t="s">
        <v>801</v>
      </c>
      <c r="C34" s="1359"/>
      <c r="D34" s="1359"/>
      <c r="E34" s="1359"/>
      <c r="F34" s="1359"/>
      <c r="G34" s="1359"/>
      <c r="H34" s="1359"/>
      <c r="I34" s="1359"/>
    </row>
    <row r="35" spans="1:9" x14ac:dyDescent="0.3">
      <c r="B35" s="1359"/>
      <c r="C35" s="1359"/>
      <c r="D35" s="1359"/>
      <c r="E35" s="1359"/>
      <c r="F35" s="1359"/>
      <c r="G35" s="1359"/>
      <c r="H35" s="1359"/>
      <c r="I35" s="1359"/>
    </row>
    <row r="36" spans="1:9" x14ac:dyDescent="0.3">
      <c r="B36" s="1359"/>
      <c r="C36" s="1359"/>
      <c r="D36" s="1359"/>
      <c r="E36" s="1359"/>
      <c r="F36" s="1359"/>
      <c r="G36" s="1359"/>
      <c r="H36" s="1359"/>
      <c r="I36" s="1359"/>
    </row>
    <row r="37" spans="1:9" x14ac:dyDescent="0.3">
      <c r="B37" s="1359"/>
      <c r="C37" s="1359"/>
      <c r="D37" s="1359"/>
      <c r="E37" s="1359"/>
      <c r="F37" s="1359"/>
      <c r="G37" s="1359"/>
      <c r="H37" s="1359"/>
      <c r="I37" s="1359"/>
    </row>
    <row r="38" spans="1:9" x14ac:dyDescent="0.3">
      <c r="B38" s="1359"/>
      <c r="C38" s="1359"/>
      <c r="D38" s="1359"/>
      <c r="E38" s="1359"/>
      <c r="F38" s="1359"/>
      <c r="G38" s="1359"/>
      <c r="H38" s="1359"/>
      <c r="I38" s="1359"/>
    </row>
    <row r="40" spans="1:9" ht="13.75" customHeight="1" x14ac:dyDescent="0.3">
      <c r="A40">
        <v>4</v>
      </c>
      <c r="B40" s="1359" t="s">
        <v>802</v>
      </c>
      <c r="C40" s="1359"/>
      <c r="D40" s="1359"/>
      <c r="E40" s="1359"/>
      <c r="F40" s="1359"/>
      <c r="G40" s="1359"/>
      <c r="H40" s="1359"/>
      <c r="I40" s="1359"/>
    </row>
    <row r="41" spans="1:9" x14ac:dyDescent="0.3">
      <c r="B41" s="1359"/>
      <c r="C41" s="1359"/>
      <c r="D41" s="1359"/>
      <c r="E41" s="1359"/>
      <c r="F41" s="1359"/>
      <c r="G41" s="1359"/>
      <c r="H41" s="1359"/>
      <c r="I41" s="1359"/>
    </row>
    <row r="42" spans="1:9" x14ac:dyDescent="0.3">
      <c r="B42" s="1359"/>
      <c r="C42" s="1359"/>
      <c r="D42" s="1359"/>
      <c r="E42" s="1359"/>
      <c r="F42" s="1359"/>
      <c r="G42" s="1359"/>
      <c r="H42" s="1359"/>
      <c r="I42" s="1359"/>
    </row>
    <row r="44" spans="1:9" x14ac:dyDescent="0.3">
      <c r="A44" s="1272" t="s">
        <v>803</v>
      </c>
    </row>
    <row r="45" spans="1:9" x14ac:dyDescent="0.3">
      <c r="B45" s="1273" t="s">
        <v>804</v>
      </c>
    </row>
    <row r="46" spans="1:9" x14ac:dyDescent="0.3">
      <c r="A46" s="1275"/>
      <c r="B46" s="1273" t="s">
        <v>805</v>
      </c>
    </row>
    <row r="47" spans="1:9" x14ac:dyDescent="0.3">
      <c r="B47" s="1273" t="s">
        <v>806</v>
      </c>
      <c r="C47" s="1273" t="s">
        <v>807</v>
      </c>
      <c r="D47" s="1276"/>
      <c r="E47" s="1276"/>
      <c r="F47" s="1276"/>
      <c r="G47" s="1276"/>
      <c r="H47" s="1276"/>
    </row>
    <row r="49" spans="1:2" x14ac:dyDescent="0.3">
      <c r="A49" s="1273" t="s">
        <v>809</v>
      </c>
      <c r="B49" s="1273"/>
    </row>
    <row r="51" spans="1:2" x14ac:dyDescent="0.3">
      <c r="A51" s="1272" t="s">
        <v>808</v>
      </c>
    </row>
  </sheetData>
  <mergeCells count="5">
    <mergeCell ref="A5:I6"/>
    <mergeCell ref="B26:I29"/>
    <mergeCell ref="B31:I32"/>
    <mergeCell ref="B34:I38"/>
    <mergeCell ref="B40:I42"/>
  </mergeCells>
  <pageMargins left="0.7" right="0.7" top="0.75" bottom="0.75" header="0.3" footer="0.3"/>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tabColor indexed="22"/>
  </sheetPr>
  <dimension ref="A1:H35"/>
  <sheetViews>
    <sheetView view="pageBreakPreview" zoomScaleNormal="100" zoomScaleSheetLayoutView="100" workbookViewId="0">
      <selection activeCell="D13" sqref="D13"/>
    </sheetView>
  </sheetViews>
  <sheetFormatPr defaultColWidth="9" defaultRowHeight="12.75" customHeight="1" x14ac:dyDescent="0.25"/>
  <cols>
    <col min="1" max="1" width="5.58203125" style="30" customWidth="1"/>
    <col min="2" max="2" width="69.5" style="30" customWidth="1"/>
    <col min="3" max="3" width="2.33203125" style="30" customWidth="1"/>
    <col min="4" max="4" width="10.33203125" style="30" customWidth="1"/>
    <col min="5" max="5" width="8.6640625" style="30" customWidth="1"/>
    <col min="6" max="6" width="2.83203125" style="30" bestFit="1" customWidth="1"/>
    <col min="7" max="7" width="10.83203125" style="30" bestFit="1" customWidth="1"/>
    <col min="8" max="8" width="9.58203125" style="30" customWidth="1"/>
    <col min="9" max="16384" width="9" style="30"/>
  </cols>
  <sheetData>
    <row r="1" spans="1:8" ht="19" x14ac:dyDescent="0.4">
      <c r="A1" s="37" t="s">
        <v>9</v>
      </c>
      <c r="B1" s="38" t="e">
        <f>#REF!</f>
        <v>#REF!</v>
      </c>
      <c r="C1" s="28"/>
      <c r="D1" s="28"/>
      <c r="E1" s="28"/>
    </row>
    <row r="2" spans="1:8" ht="12.75" customHeight="1" x14ac:dyDescent="0.25">
      <c r="A2" s="32"/>
      <c r="C2" s="33"/>
      <c r="D2" s="33"/>
    </row>
    <row r="3" spans="1:8" ht="12.75" customHeight="1" x14ac:dyDescent="0.25">
      <c r="A3" s="30" t="s">
        <v>100</v>
      </c>
    </row>
    <row r="4" spans="1:8" ht="12.75" customHeight="1" x14ac:dyDescent="0.25">
      <c r="A4" s="30" t="s">
        <v>101</v>
      </c>
    </row>
    <row r="5" spans="1:8" ht="12.75" customHeight="1" x14ac:dyDescent="0.25">
      <c r="A5" s="34" t="s">
        <v>96</v>
      </c>
      <c r="B5" s="34"/>
    </row>
    <row r="6" spans="1:8" ht="12.75" customHeight="1" x14ac:dyDescent="0.25">
      <c r="A6" s="34"/>
      <c r="B6" s="34"/>
    </row>
    <row r="7" spans="1:8" ht="12.75" customHeight="1" x14ac:dyDescent="0.25">
      <c r="A7" s="34"/>
      <c r="B7" s="34"/>
    </row>
    <row r="8" spans="1:8" ht="12.75" customHeight="1" x14ac:dyDescent="0.25">
      <c r="A8" s="152"/>
      <c r="B8" s="144"/>
      <c r="C8" s="144"/>
      <c r="D8" s="154" t="s">
        <v>44</v>
      </c>
      <c r="E8" s="145" t="s">
        <v>25</v>
      </c>
      <c r="F8" s="152"/>
      <c r="G8" s="1281" t="s">
        <v>114</v>
      </c>
      <c r="H8" s="1283" t="s">
        <v>123</v>
      </c>
    </row>
    <row r="9" spans="1:8" ht="12.75" customHeight="1" x14ac:dyDescent="0.25">
      <c r="A9" s="153"/>
      <c r="B9" s="142"/>
      <c r="C9" s="142"/>
      <c r="D9" s="155"/>
      <c r="E9" s="146" t="s">
        <v>96</v>
      </c>
      <c r="F9" s="153"/>
      <c r="G9" s="1282"/>
      <c r="H9" s="1284"/>
    </row>
    <row r="10" spans="1:8" ht="12.75" customHeight="1" x14ac:dyDescent="0.25">
      <c r="A10" s="153"/>
      <c r="B10" s="142"/>
      <c r="C10" s="142"/>
      <c r="D10" s="155"/>
      <c r="E10" s="146"/>
      <c r="F10" s="153"/>
      <c r="G10" s="1282"/>
      <c r="H10" s="1284"/>
    </row>
    <row r="11" spans="1:8" ht="12.75" customHeight="1" x14ac:dyDescent="0.25">
      <c r="A11" s="153"/>
      <c r="B11" s="142"/>
      <c r="C11" s="142"/>
      <c r="D11" s="155"/>
      <c r="E11" s="146"/>
      <c r="F11" s="153"/>
      <c r="G11" s="1282"/>
      <c r="H11" s="1284"/>
    </row>
    <row r="12" spans="1:8" ht="12.75" customHeight="1" x14ac:dyDescent="0.25">
      <c r="A12" s="164"/>
      <c r="B12" s="161"/>
      <c r="C12" s="165"/>
      <c r="D12" s="162"/>
      <c r="E12" s="167"/>
      <c r="F12" s="161"/>
      <c r="G12" s="169"/>
      <c r="H12" s="163"/>
    </row>
    <row r="13" spans="1:8" ht="13.5" x14ac:dyDescent="0.25">
      <c r="A13" s="73">
        <v>1</v>
      </c>
      <c r="B13" s="28" t="s">
        <v>104</v>
      </c>
      <c r="C13" s="70"/>
      <c r="D13" s="7"/>
      <c r="E13" s="151"/>
      <c r="F13" s="160" t="s">
        <v>141</v>
      </c>
      <c r="G13" s="151"/>
      <c r="H13" s="147"/>
    </row>
    <row r="14" spans="1:8" ht="11.5" x14ac:dyDescent="0.25">
      <c r="A14" s="73"/>
      <c r="B14" s="28"/>
      <c r="C14" s="70"/>
      <c r="D14" s="7"/>
      <c r="E14" s="151"/>
      <c r="F14" s="160"/>
      <c r="G14" s="151"/>
      <c r="H14" s="147"/>
    </row>
    <row r="15" spans="1:8" ht="13.5" x14ac:dyDescent="0.25">
      <c r="A15" s="73">
        <v>2</v>
      </c>
      <c r="B15" s="28" t="s">
        <v>115</v>
      </c>
      <c r="C15" s="70"/>
      <c r="D15" s="7"/>
      <c r="E15" s="151"/>
      <c r="F15" s="47" t="s">
        <v>141</v>
      </c>
      <c r="G15" s="157"/>
      <c r="H15" s="147"/>
    </row>
    <row r="16" spans="1:8" ht="11.5" x14ac:dyDescent="0.25">
      <c r="A16" s="73"/>
      <c r="B16" s="28"/>
      <c r="C16" s="70"/>
      <c r="D16" s="7"/>
      <c r="E16" s="151"/>
      <c r="F16" s="47"/>
      <c r="G16" s="157"/>
      <c r="H16" s="147"/>
    </row>
    <row r="17" spans="1:8" ht="13.5" x14ac:dyDescent="0.25">
      <c r="A17" s="73">
        <v>3</v>
      </c>
      <c r="B17" s="28" t="s">
        <v>98</v>
      </c>
      <c r="C17" s="70"/>
      <c r="D17" s="7"/>
      <c r="E17" s="157"/>
      <c r="F17" s="47" t="s">
        <v>141</v>
      </c>
      <c r="G17" s="157"/>
      <c r="H17" s="147" t="s">
        <v>96</v>
      </c>
    </row>
    <row r="18" spans="1:8" ht="11.5" x14ac:dyDescent="0.25">
      <c r="A18" s="73"/>
      <c r="B18" s="28"/>
      <c r="C18" s="70"/>
      <c r="D18" s="7"/>
      <c r="E18" s="157"/>
      <c r="F18" s="47"/>
      <c r="G18" s="157"/>
      <c r="H18" s="147"/>
    </row>
    <row r="19" spans="1:8" ht="11.5" x14ac:dyDescent="0.25">
      <c r="A19" s="73">
        <v>4</v>
      </c>
      <c r="B19" s="28" t="s">
        <v>102</v>
      </c>
      <c r="C19" s="70"/>
      <c r="D19" s="7"/>
      <c r="E19" s="157"/>
      <c r="F19" s="47" t="s">
        <v>96</v>
      </c>
      <c r="G19" s="157"/>
      <c r="H19" s="147"/>
    </row>
    <row r="20" spans="1:8" ht="11.5" x14ac:dyDescent="0.25">
      <c r="A20" s="150"/>
      <c r="B20" s="76"/>
      <c r="C20" s="77"/>
      <c r="D20" s="156"/>
      <c r="E20" s="158"/>
      <c r="F20" s="170"/>
      <c r="G20" s="158"/>
      <c r="H20" s="149"/>
    </row>
    <row r="21" spans="1:8" ht="11.5" x14ac:dyDescent="0.25">
      <c r="A21" s="73"/>
      <c r="B21" s="28"/>
      <c r="C21" s="70"/>
      <c r="D21" s="7"/>
      <c r="E21" s="157"/>
      <c r="F21" s="47"/>
      <c r="G21" s="157"/>
      <c r="H21" s="147"/>
    </row>
    <row r="22" spans="1:8" ht="13.5" x14ac:dyDescent="0.25">
      <c r="A22" s="73" t="s">
        <v>96</v>
      </c>
      <c r="B22" s="43" t="s">
        <v>97</v>
      </c>
      <c r="C22" s="166" t="s">
        <v>44</v>
      </c>
      <c r="D22" s="51">
        <f>SUM(D13:D19)</f>
        <v>0</v>
      </c>
      <c r="E22" s="168"/>
      <c r="F22" s="48" t="s">
        <v>142</v>
      </c>
      <c r="G22" s="157"/>
      <c r="H22" s="147"/>
    </row>
    <row r="23" spans="1:8" ht="12.75" customHeight="1" x14ac:dyDescent="0.25">
      <c r="A23" s="150"/>
      <c r="B23" s="76"/>
      <c r="C23" s="77"/>
      <c r="D23" s="156"/>
      <c r="E23" s="158"/>
      <c r="F23" s="148"/>
      <c r="G23" s="79"/>
      <c r="H23" s="77"/>
    </row>
    <row r="24" spans="1:8" ht="11.5" x14ac:dyDescent="0.25">
      <c r="A24" s="41"/>
      <c r="B24" s="28"/>
      <c r="C24" s="28"/>
      <c r="D24" s="7"/>
    </row>
    <row r="25" spans="1:8" ht="12.75" customHeight="1" x14ac:dyDescent="0.25">
      <c r="A25" s="49"/>
      <c r="B25" s="35"/>
      <c r="C25" s="28"/>
      <c r="D25" s="7"/>
    </row>
    <row r="26" spans="1:8" ht="12.75" customHeight="1" x14ac:dyDescent="0.25">
      <c r="A26" s="49"/>
      <c r="B26" s="35"/>
      <c r="C26" s="28"/>
      <c r="D26" s="7"/>
    </row>
    <row r="27" spans="1:8" ht="12.75" customHeight="1" x14ac:dyDescent="0.25">
      <c r="A27" s="49"/>
      <c r="B27" s="35"/>
      <c r="C27" s="28"/>
      <c r="D27" s="7"/>
    </row>
    <row r="28" spans="1:8" ht="12.75" customHeight="1" x14ac:dyDescent="0.25">
      <c r="A28" s="41"/>
      <c r="B28" s="28"/>
      <c r="C28" s="28"/>
      <c r="D28" s="28"/>
    </row>
    <row r="29" spans="1:8" ht="12.75" customHeight="1" x14ac:dyDescent="0.25">
      <c r="A29" s="41"/>
      <c r="B29" s="28"/>
      <c r="C29" s="28"/>
      <c r="D29" s="28"/>
    </row>
    <row r="30" spans="1:8" ht="12.75" customHeight="1" x14ac:dyDescent="0.25">
      <c r="A30" s="49"/>
      <c r="B30" s="43"/>
      <c r="C30" s="50"/>
      <c r="D30" s="51"/>
    </row>
    <row r="31" spans="1:8" ht="12.75" customHeight="1" x14ac:dyDescent="0.25">
      <c r="A31" s="36"/>
      <c r="B31" s="35"/>
      <c r="C31" s="28"/>
      <c r="D31" s="28"/>
    </row>
    <row r="32" spans="1:8" ht="12.75" customHeight="1" x14ac:dyDescent="0.25">
      <c r="A32" s="36"/>
      <c r="B32" s="28"/>
      <c r="C32" s="28"/>
      <c r="D32" s="28"/>
    </row>
    <row r="33" spans="1:7" ht="12.75" customHeight="1" x14ac:dyDescent="0.25">
      <c r="A33" s="36"/>
      <c r="B33" s="28"/>
      <c r="C33" s="28"/>
      <c r="D33" s="28"/>
    </row>
    <row r="34" spans="1:7" ht="12.75" customHeight="1" x14ac:dyDescent="0.25">
      <c r="A34" s="36"/>
      <c r="B34" s="28"/>
      <c r="C34" s="28"/>
      <c r="D34" s="28"/>
    </row>
    <row r="35" spans="1:7" ht="12.75" customHeight="1" x14ac:dyDescent="0.25">
      <c r="A35" s="36"/>
      <c r="B35" s="44"/>
      <c r="C35" s="28"/>
      <c r="D35" s="28"/>
      <c r="E35" s="28"/>
      <c r="F35" s="28"/>
      <c r="G35" s="28"/>
    </row>
  </sheetData>
  <customSheetViews>
    <customSheetView guid="{2B0692CF-4177-422C-A620-ABA6158FDE4D}" showPageBreaks="1" printArea="1" state="hidden" view="pageBreakPreview">
      <selection activeCell="D13" sqref="D13"/>
      <pageMargins left="0.62992125984251968" right="0.55118110236220474" top="1.1023622047244095" bottom="0.70866141732283472" header="0" footer="0.15748031496062992"/>
      <pageSetup paperSize="9" orientation="landscape" cellComments="asDisplayed" r:id="rId1"/>
      <headerFooter alignWithMargins="0">
        <oddHeader xml:space="preserve">&amp;L&amp;"Arial,Bold"&amp;7Davis Langdon, An AECOM Company&amp;R&amp;7page &amp;P of &amp;N-1 </oddHeader>
        <oddFooter xml:space="preserve">&amp;L&amp;"Arial,Bold"&amp;7Program, Cost, Consultancy&amp;"Arial,Regular"
www.davislangdon.com
www.aecom.com&amp;R&amp;9 </oddFooter>
      </headerFooter>
    </customSheetView>
    <customSheetView guid="{6C33A4D3-AF33-443C-A522-C1A990C51A36}" showPageBreaks="1" printArea="1" state="hidden" view="pageBreakPreview">
      <selection activeCell="D13" sqref="D13"/>
      <pageMargins left="0.62992125984251968" right="0.55118110236220474" top="1.1023622047244095" bottom="0.70866141732283472" header="0" footer="0.15748031496062992"/>
      <pageSetup paperSize="9" orientation="landscape" cellComments="asDisplayed" r:id="rId2"/>
      <headerFooter alignWithMargins="0">
        <oddHeader xml:space="preserve">&amp;L&amp;"Arial,Bold"&amp;7Davis Langdon, An AECOM Company&amp;R&amp;7page &amp;P of &amp;N-1 </oddHeader>
        <oddFooter xml:space="preserve">&amp;L&amp;"Arial,Bold"&amp;7Program, Cost, Consultancy&amp;"Arial,Regular"
www.davislangdon.com
www.aecom.com&amp;R&amp;9 </oddFooter>
      </headerFooter>
    </customSheetView>
  </customSheetViews>
  <mergeCells count="2">
    <mergeCell ref="G8:G11"/>
    <mergeCell ref="H8:H11"/>
  </mergeCells>
  <phoneticPr fontId="4" type="noConversion"/>
  <pageMargins left="0.62992125984251968" right="0.55118110236220474" top="1.1023622047244095" bottom="0.70866141732283472" header="0" footer="0.15748031496062992"/>
  <pageSetup paperSize="9" orientation="landscape" cellComments="asDisplayed" r:id="rId3"/>
  <headerFooter alignWithMargins="0">
    <oddHeader xml:space="preserve">&amp;L&amp;"Arial,Bold"&amp;7Davis Langdon, An AECOM Company&amp;R&amp;7page &amp;P of &amp;N-1 </oddHeader>
    <oddFooter xml:space="preserve">&amp;L&amp;"Arial,Bold"&amp;7Program, Cost, Consultancy&amp;"Arial,Regular"
www.davislangdon.com
www.aecom.com&amp;R&amp;9 </oddFooter>
  </headerFooter>
  <drawing r:id="rId4"/>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
  <sheetViews>
    <sheetView tabSelected="1" view="pageBreakPreview" topLeftCell="A4" zoomScale="90" zoomScaleNormal="100" zoomScaleSheetLayoutView="90" workbookViewId="0">
      <selection activeCell="L20" sqref="L20"/>
    </sheetView>
  </sheetViews>
  <sheetFormatPr defaultRowHeight="14" x14ac:dyDescent="0.3"/>
  <cols>
    <col min="1" max="1" width="9.08203125" customWidth="1"/>
    <col min="9" max="9" width="10.33203125" customWidth="1"/>
  </cols>
  <sheetData/>
  <pageMargins left="0.7" right="0.7" top="0.75" bottom="0.75" header="0.3" footer="0.3"/>
  <pageSetup paperSize="9" scale="98" orientation="portrait" r:id="rId1"/>
  <colBreaks count="1" manualBreakCount="1">
    <brk id="9" max="47" man="1"/>
  </colBreaks>
  <drawing r:id="rId2"/>
  <legacyDrawing r:id="rId3"/>
  <oleObjects>
    <mc:AlternateContent xmlns:mc="http://schemas.openxmlformats.org/markup-compatibility/2006">
      <mc:Choice Requires="x14">
        <oleObject progId="Document" shapeId="164865" r:id="rId4">
          <objectPr defaultSize="0" autoPict="0" r:id="rId5">
            <anchor moveWithCells="1">
              <from>
                <xdr:col>0</xdr:col>
                <xdr:colOff>0</xdr:colOff>
                <xdr:row>0</xdr:row>
                <xdr:rowOff>0</xdr:rowOff>
              </from>
              <to>
                <xdr:col>8</xdr:col>
                <xdr:colOff>762000</xdr:colOff>
                <xdr:row>47</xdr:row>
                <xdr:rowOff>139700</xdr:rowOff>
              </to>
            </anchor>
          </objectPr>
        </oleObject>
      </mc:Choice>
      <mc:Fallback>
        <oleObject progId="Document" shapeId="16486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0">
    <tabColor indexed="14"/>
  </sheetPr>
  <dimension ref="A1:O94"/>
  <sheetViews>
    <sheetView view="pageBreakPreview" zoomScaleNormal="100" zoomScaleSheetLayoutView="100" workbookViewId="0">
      <selection activeCell="B26" sqref="B26"/>
    </sheetView>
  </sheetViews>
  <sheetFormatPr defaultColWidth="9" defaultRowHeight="12.75" customHeight="1" x14ac:dyDescent="0.25"/>
  <cols>
    <col min="1" max="1" width="5.5" style="225" customWidth="1"/>
    <col min="2" max="2" width="68.6640625" style="225" customWidth="1"/>
    <col min="3" max="3" width="7.5" style="296" customWidth="1"/>
    <col min="4" max="4" width="7.5" style="225" customWidth="1"/>
    <col min="5" max="5" width="8.08203125" style="223" customWidth="1"/>
    <col min="6" max="6" width="8.33203125" style="223" customWidth="1"/>
    <col min="7" max="7" width="8.08203125" style="223" customWidth="1"/>
    <col min="8" max="8" width="1.5" style="223" customWidth="1"/>
    <col min="9" max="9" width="5.58203125" style="225" customWidth="1"/>
    <col min="10" max="10" width="68.6640625" style="225" customWidth="1"/>
    <col min="11" max="11" width="7.5" style="225" customWidth="1"/>
    <col min="12" max="12" width="7.5" style="331" customWidth="1"/>
    <col min="13" max="13" width="8.08203125" style="225" customWidth="1"/>
    <col min="14" max="14" width="8.5" style="225" customWidth="1"/>
    <col min="15" max="15" width="8.08203125" style="225" customWidth="1"/>
    <col min="16" max="16384" width="9" style="225"/>
  </cols>
  <sheetData>
    <row r="1" spans="1:15" ht="90.5" x14ac:dyDescent="1.75">
      <c r="A1" s="458" t="e">
        <f>client</f>
        <v>#REF!</v>
      </c>
      <c r="B1" s="457"/>
      <c r="C1" s="459"/>
      <c r="D1" s="222"/>
      <c r="E1" s="460" t="s">
        <v>308</v>
      </c>
      <c r="F1" s="224"/>
      <c r="G1" s="224"/>
    </row>
    <row r="2" spans="1:15" s="30" customFormat="1" ht="19" x14ac:dyDescent="0.4">
      <c r="A2" s="297" t="e">
        <f>project</f>
        <v>#REF!</v>
      </c>
      <c r="E2" s="335"/>
      <c r="L2" s="332"/>
    </row>
    <row r="3" spans="1:15" s="30" customFormat="1" ht="9" customHeight="1" x14ac:dyDescent="0.25">
      <c r="A3" s="31"/>
      <c r="E3" s="335"/>
      <c r="L3" s="332"/>
    </row>
    <row r="4" spans="1:15" ht="19" x14ac:dyDescent="0.4">
      <c r="A4" s="456" t="s">
        <v>9</v>
      </c>
      <c r="B4" s="457" t="e">
        <f>#REF!</f>
        <v>#REF!</v>
      </c>
      <c r="J4" s="317"/>
      <c r="N4" s="1289" t="e">
        <f>+date</f>
        <v>#REF!</v>
      </c>
      <c r="O4" s="1289"/>
    </row>
    <row r="5" spans="1:15" ht="9" customHeight="1" thickBot="1" x14ac:dyDescent="0.3">
      <c r="F5" s="318"/>
      <c r="G5" s="318"/>
    </row>
    <row r="6" spans="1:15" ht="12" customHeight="1" x14ac:dyDescent="0.25">
      <c r="A6" s="339" t="s">
        <v>154</v>
      </c>
      <c r="B6" s="340" t="s">
        <v>160</v>
      </c>
      <c r="C6" s="341">
        <f>650-18*2</f>
        <v>614</v>
      </c>
      <c r="D6" s="342" t="s">
        <v>27</v>
      </c>
      <c r="E6" s="343">
        <f>C6*10.7639</f>
        <v>6609.0346</v>
      </c>
      <c r="F6" s="343" t="s">
        <v>161</v>
      </c>
      <c r="G6" s="344"/>
      <c r="H6" s="345"/>
      <c r="I6" s="339" t="s">
        <v>154</v>
      </c>
      <c r="J6" s="340" t="s">
        <v>160</v>
      </c>
      <c r="K6" s="341">
        <f>C6</f>
        <v>614</v>
      </c>
      <c r="L6" s="342" t="s">
        <v>27</v>
      </c>
      <c r="M6" s="343">
        <f>K6*10.7639</f>
        <v>6609.0346</v>
      </c>
      <c r="N6" s="343" t="s">
        <v>161</v>
      </c>
      <c r="O6" s="344"/>
    </row>
    <row r="7" spans="1:15" ht="12" customHeight="1" x14ac:dyDescent="0.25">
      <c r="A7" s="346"/>
      <c r="B7" s="347"/>
      <c r="C7" s="348" t="s">
        <v>151</v>
      </c>
      <c r="D7" s="349" t="s">
        <v>152</v>
      </c>
      <c r="E7" s="350" t="s">
        <v>162</v>
      </c>
      <c r="F7" s="350" t="s">
        <v>163</v>
      </c>
      <c r="G7" s="351" t="s">
        <v>164</v>
      </c>
      <c r="H7" s="345"/>
      <c r="I7" s="346"/>
      <c r="J7" s="347"/>
      <c r="K7" s="348" t="s">
        <v>151</v>
      </c>
      <c r="L7" s="349" t="s">
        <v>152</v>
      </c>
      <c r="M7" s="350" t="s">
        <v>162</v>
      </c>
      <c r="N7" s="350" t="s">
        <v>163</v>
      </c>
      <c r="O7" s="351" t="s">
        <v>164</v>
      </c>
    </row>
    <row r="8" spans="1:15" ht="9.75" customHeight="1" x14ac:dyDescent="0.25">
      <c r="A8" s="352"/>
      <c r="B8" s="353"/>
      <c r="C8" s="354"/>
      <c r="D8" s="355"/>
      <c r="E8" s="356"/>
      <c r="F8" s="356"/>
      <c r="G8" s="357"/>
      <c r="H8" s="345"/>
      <c r="I8" s="352"/>
      <c r="J8" s="353"/>
      <c r="K8" s="354"/>
      <c r="L8" s="355"/>
      <c r="M8" s="356"/>
      <c r="N8" s="356"/>
      <c r="O8" s="357"/>
    </row>
    <row r="9" spans="1:15" ht="12" customHeight="1" x14ac:dyDescent="0.25">
      <c r="A9" s="358">
        <v>1</v>
      </c>
      <c r="B9" s="359" t="s">
        <v>233</v>
      </c>
      <c r="C9" s="360"/>
      <c r="D9" s="361"/>
      <c r="E9" s="362"/>
      <c r="F9" s="362"/>
      <c r="G9" s="363"/>
      <c r="H9" s="345"/>
      <c r="I9" s="364">
        <v>8</v>
      </c>
      <c r="J9" s="365" t="s">
        <v>238</v>
      </c>
      <c r="K9" s="366"/>
      <c r="L9" s="367"/>
      <c r="M9" s="368"/>
      <c r="N9" s="368"/>
      <c r="O9" s="369"/>
    </row>
    <row r="10" spans="1:15" ht="11.25" customHeight="1" x14ac:dyDescent="0.25">
      <c r="A10" s="370">
        <v>1.1000000000000001</v>
      </c>
      <c r="B10" s="380" t="s">
        <v>167</v>
      </c>
      <c r="C10" s="371">
        <f>ROUND(410-16*2.4+C13*1,0)</f>
        <v>463</v>
      </c>
      <c r="D10" s="372" t="s">
        <v>27</v>
      </c>
      <c r="E10" s="373">
        <v>40</v>
      </c>
      <c r="F10" s="373">
        <f>C10*E10</f>
        <v>18520</v>
      </c>
      <c r="G10" s="374">
        <f t="shared" ref="G10:G25" si="0">+F10/C$6</f>
        <v>30.162866449511402</v>
      </c>
      <c r="H10" s="345"/>
      <c r="I10" s="375">
        <v>8.1</v>
      </c>
      <c r="J10" s="376" t="s">
        <v>297</v>
      </c>
      <c r="K10" s="1285" t="s">
        <v>156</v>
      </c>
      <c r="L10" s="1286"/>
      <c r="M10" s="1286"/>
      <c r="N10" s="1286"/>
      <c r="O10" s="1287"/>
    </row>
    <row r="11" spans="1:15" ht="11.25" customHeight="1" x14ac:dyDescent="0.25">
      <c r="A11" s="370">
        <v>1.2</v>
      </c>
      <c r="B11" s="380" t="s">
        <v>168</v>
      </c>
      <c r="C11" s="371">
        <v>74</v>
      </c>
      <c r="D11" s="372" t="s">
        <v>153</v>
      </c>
      <c r="E11" s="373">
        <v>15</v>
      </c>
      <c r="F11" s="373">
        <f>C11*E11</f>
        <v>1110</v>
      </c>
      <c r="G11" s="374">
        <f t="shared" si="0"/>
        <v>1.8078175895765471</v>
      </c>
      <c r="H11" s="345"/>
      <c r="I11" s="375">
        <v>8.1999999999999993</v>
      </c>
      <c r="J11" s="376" t="s">
        <v>223</v>
      </c>
      <c r="K11" s="366"/>
      <c r="L11" s="367"/>
      <c r="M11" s="368"/>
      <c r="N11" s="368"/>
      <c r="O11" s="369"/>
    </row>
    <row r="12" spans="1:15" ht="11.25" customHeight="1" x14ac:dyDescent="0.25">
      <c r="A12" s="370">
        <v>1.3</v>
      </c>
      <c r="B12" s="380" t="s">
        <v>170</v>
      </c>
      <c r="C12" s="371">
        <f>C6</f>
        <v>614</v>
      </c>
      <c r="D12" s="372" t="s">
        <v>27</v>
      </c>
      <c r="E12" s="373">
        <v>20</v>
      </c>
      <c r="F12" s="373">
        <f t="shared" ref="F12:F25" si="1">C12*E12</f>
        <v>12280</v>
      </c>
      <c r="G12" s="374">
        <f t="shared" si="0"/>
        <v>20</v>
      </c>
      <c r="H12" s="377"/>
      <c r="I12" s="378" t="s">
        <v>224</v>
      </c>
      <c r="J12" s="379" t="s">
        <v>245</v>
      </c>
      <c r="K12" s="366">
        <v>587</v>
      </c>
      <c r="L12" s="367" t="s">
        <v>27</v>
      </c>
      <c r="M12" s="368">
        <v>30</v>
      </c>
      <c r="N12" s="368">
        <f>+M12*K12</f>
        <v>17610</v>
      </c>
      <c r="O12" s="369">
        <f>ROUND(N12/$C$6,2)</f>
        <v>28.68</v>
      </c>
    </row>
    <row r="13" spans="1:15" ht="11.25" customHeight="1" x14ac:dyDescent="0.25">
      <c r="A13" s="370">
        <v>1.4</v>
      </c>
      <c r="B13" s="380" t="s">
        <v>171</v>
      </c>
      <c r="C13" s="371">
        <v>91</v>
      </c>
      <c r="D13" s="372" t="s">
        <v>27</v>
      </c>
      <c r="E13" s="373">
        <v>50</v>
      </c>
      <c r="F13" s="373">
        <f t="shared" si="1"/>
        <v>4550</v>
      </c>
      <c r="G13" s="374">
        <f t="shared" si="0"/>
        <v>7.4104234527687298</v>
      </c>
      <c r="H13" s="377"/>
      <c r="I13" s="378" t="s">
        <v>225</v>
      </c>
      <c r="J13" s="379" t="s">
        <v>226</v>
      </c>
      <c r="K13" s="366">
        <f>K12</f>
        <v>587</v>
      </c>
      <c r="L13" s="367" t="s">
        <v>27</v>
      </c>
      <c r="M13" s="368">
        <v>10</v>
      </c>
      <c r="N13" s="368">
        <f>+M13*K13</f>
        <v>5870</v>
      </c>
      <c r="O13" s="369">
        <f>ROUND(N13/$C$6,2)</f>
        <v>9.56</v>
      </c>
    </row>
    <row r="14" spans="1:15" ht="11.25" customHeight="1" x14ac:dyDescent="0.25">
      <c r="A14" s="370">
        <v>1.5</v>
      </c>
      <c r="B14" s="1288" t="s">
        <v>172</v>
      </c>
      <c r="C14" s="371">
        <v>1</v>
      </c>
      <c r="D14" s="372" t="s">
        <v>158</v>
      </c>
      <c r="E14" s="373">
        <f>500+1000+2000+ROUND(8*60/1000*2000,-3)+500</f>
        <v>5000</v>
      </c>
      <c r="F14" s="373">
        <f t="shared" si="1"/>
        <v>5000</v>
      </c>
      <c r="G14" s="374">
        <f t="shared" si="0"/>
        <v>8.1433224755700326</v>
      </c>
      <c r="H14" s="377"/>
      <c r="I14" s="375">
        <v>8.3000000000000007</v>
      </c>
      <c r="J14" s="376" t="s">
        <v>296</v>
      </c>
      <c r="K14" s="1285" t="s">
        <v>156</v>
      </c>
      <c r="L14" s="1286"/>
      <c r="M14" s="1286"/>
      <c r="N14" s="1286"/>
      <c r="O14" s="1287"/>
    </row>
    <row r="15" spans="1:15" ht="12" customHeight="1" x14ac:dyDescent="0.25">
      <c r="A15" s="370"/>
      <c r="B15" s="1288"/>
      <c r="C15" s="371"/>
      <c r="D15" s="372"/>
      <c r="E15" s="373"/>
      <c r="F15" s="373"/>
      <c r="G15" s="374"/>
      <c r="H15" s="345"/>
      <c r="I15" s="381"/>
      <c r="J15" s="382"/>
      <c r="K15" s="360"/>
      <c r="L15" s="383"/>
      <c r="M15" s="368"/>
      <c r="N15" s="368"/>
      <c r="O15" s="369"/>
    </row>
    <row r="16" spans="1:15" ht="12" customHeight="1" thickBot="1" x14ac:dyDescent="0.3">
      <c r="A16" s="370">
        <v>1.6</v>
      </c>
      <c r="B16" s="1288" t="s">
        <v>292</v>
      </c>
      <c r="C16" s="371">
        <v>1</v>
      </c>
      <c r="D16" s="372" t="s">
        <v>158</v>
      </c>
      <c r="E16" s="373">
        <f>500+500+1000+ROUND(12*60/1000*2000,-3)+500</f>
        <v>3500</v>
      </c>
      <c r="F16" s="373">
        <f t="shared" si="1"/>
        <v>3500</v>
      </c>
      <c r="G16" s="374">
        <f t="shared" si="0"/>
        <v>5.7003257328990227</v>
      </c>
      <c r="H16" s="345"/>
      <c r="I16" s="384">
        <f>I9</f>
        <v>8</v>
      </c>
      <c r="J16" s="385" t="s">
        <v>169</v>
      </c>
      <c r="K16" s="386"/>
      <c r="L16" s="387"/>
      <c r="M16" s="388"/>
      <c r="N16" s="388">
        <f>ROUND(SUM(N8:N15),-3)</f>
        <v>23000</v>
      </c>
      <c r="O16" s="389">
        <f>N16/$C$6</f>
        <v>37.45928338762215</v>
      </c>
    </row>
    <row r="17" spans="1:15" ht="12" customHeight="1" x14ac:dyDescent="0.25">
      <c r="A17" s="390"/>
      <c r="B17" s="1288"/>
      <c r="C17" s="371"/>
      <c r="D17" s="372"/>
      <c r="E17" s="373"/>
      <c r="F17" s="373"/>
      <c r="G17" s="374"/>
      <c r="H17" s="345"/>
      <c r="I17" s="381"/>
      <c r="J17" s="365"/>
      <c r="K17" s="366"/>
      <c r="L17" s="367"/>
      <c r="M17" s="368"/>
      <c r="N17" s="368"/>
      <c r="O17" s="369"/>
    </row>
    <row r="18" spans="1:15" ht="12" customHeight="1" x14ac:dyDescent="0.25">
      <c r="A18" s="370">
        <v>1.7</v>
      </c>
      <c r="B18" s="380" t="s">
        <v>175</v>
      </c>
      <c r="C18" s="371">
        <v>1</v>
      </c>
      <c r="D18" s="372" t="s">
        <v>158</v>
      </c>
      <c r="E18" s="373">
        <v>2000</v>
      </c>
      <c r="F18" s="373">
        <f t="shared" si="1"/>
        <v>2000</v>
      </c>
      <c r="G18" s="374">
        <f t="shared" si="0"/>
        <v>3.2573289902280131</v>
      </c>
      <c r="H18" s="345"/>
      <c r="I18" s="364">
        <v>9</v>
      </c>
      <c r="J18" s="365" t="s">
        <v>165</v>
      </c>
      <c r="K18" s="366"/>
      <c r="L18" s="367"/>
      <c r="M18" s="368"/>
      <c r="N18" s="368"/>
      <c r="O18" s="369"/>
    </row>
    <row r="19" spans="1:15" ht="12" customHeight="1" x14ac:dyDescent="0.25">
      <c r="A19" s="370">
        <v>1.8</v>
      </c>
      <c r="B19" s="1288" t="s">
        <v>177</v>
      </c>
      <c r="C19" s="371">
        <v>1</v>
      </c>
      <c r="D19" s="372" t="s">
        <v>158</v>
      </c>
      <c r="E19" s="373">
        <f>1000+1000+1000+500</f>
        <v>3500</v>
      </c>
      <c r="F19" s="373">
        <f t="shared" si="1"/>
        <v>3500</v>
      </c>
      <c r="G19" s="374">
        <f t="shared" si="0"/>
        <v>5.7003257328990227</v>
      </c>
      <c r="H19" s="377"/>
      <c r="I19" s="370">
        <v>9.1</v>
      </c>
      <c r="J19" s="353" t="s">
        <v>166</v>
      </c>
      <c r="K19" s="360">
        <v>1</v>
      </c>
      <c r="L19" s="361" t="s">
        <v>158</v>
      </c>
      <c r="M19" s="362">
        <v>1000</v>
      </c>
      <c r="N19" s="373">
        <f>K19*M19</f>
        <v>1000</v>
      </c>
      <c r="O19" s="391">
        <f>+N19/K$6</f>
        <v>1.6286644951140066</v>
      </c>
    </row>
    <row r="20" spans="1:15" ht="12" customHeight="1" x14ac:dyDescent="0.25">
      <c r="A20" s="390"/>
      <c r="B20" s="1288"/>
      <c r="C20" s="371"/>
      <c r="D20" s="372"/>
      <c r="E20" s="373"/>
      <c r="F20" s="373"/>
      <c r="G20" s="374"/>
      <c r="H20" s="345"/>
      <c r="I20" s="392"/>
      <c r="J20" s="393"/>
      <c r="K20" s="360"/>
      <c r="L20" s="383"/>
      <c r="M20" s="368"/>
      <c r="N20" s="368"/>
      <c r="O20" s="369"/>
    </row>
    <row r="21" spans="1:15" ht="12" customHeight="1" thickBot="1" x14ac:dyDescent="0.3">
      <c r="A21" s="390">
        <v>1.9</v>
      </c>
      <c r="B21" s="1288" t="s">
        <v>293</v>
      </c>
      <c r="C21" s="371">
        <v>1</v>
      </c>
      <c r="D21" s="372" t="s">
        <v>158</v>
      </c>
      <c r="E21" s="373">
        <v>20000</v>
      </c>
      <c r="F21" s="373">
        <f t="shared" si="1"/>
        <v>20000</v>
      </c>
      <c r="G21" s="374">
        <f t="shared" si="0"/>
        <v>32.573289902280131</v>
      </c>
      <c r="H21" s="345"/>
      <c r="I21" s="384">
        <f>+I18</f>
        <v>9</v>
      </c>
      <c r="J21" s="385" t="s">
        <v>169</v>
      </c>
      <c r="K21" s="386"/>
      <c r="L21" s="387"/>
      <c r="M21" s="388"/>
      <c r="N21" s="388">
        <f>ROUND(SUM(N17:N20),-3)</f>
        <v>1000</v>
      </c>
      <c r="O21" s="389">
        <f>N21/$C$6</f>
        <v>1.6286644951140066</v>
      </c>
    </row>
    <row r="22" spans="1:15" ht="12" customHeight="1" x14ac:dyDescent="0.25">
      <c r="A22" s="390"/>
      <c r="B22" s="1288"/>
      <c r="C22" s="371"/>
      <c r="D22" s="372"/>
      <c r="E22" s="373"/>
      <c r="F22" s="373"/>
      <c r="G22" s="374"/>
      <c r="H22" s="345"/>
      <c r="I22" s="381"/>
      <c r="J22" s="365"/>
      <c r="K22" s="366"/>
      <c r="L22" s="367"/>
      <c r="M22" s="368"/>
      <c r="N22" s="368"/>
      <c r="O22" s="369"/>
    </row>
    <row r="23" spans="1:15" ht="12" customHeight="1" x14ac:dyDescent="0.25">
      <c r="A23" s="390">
        <v>1.1000000000000001</v>
      </c>
      <c r="B23" s="1288" t="s">
        <v>179</v>
      </c>
      <c r="C23" s="371">
        <v>2</v>
      </c>
      <c r="D23" s="372" t="s">
        <v>155</v>
      </c>
      <c r="E23" s="373">
        <f>500+ROUND(6.2*14.8/1000*4000,-2)+500+100</f>
        <v>1500</v>
      </c>
      <c r="F23" s="373">
        <f t="shared" si="1"/>
        <v>3000</v>
      </c>
      <c r="G23" s="374">
        <f t="shared" si="0"/>
        <v>4.8859934853420199</v>
      </c>
      <c r="H23" s="345"/>
      <c r="I23" s="364">
        <v>10</v>
      </c>
      <c r="J23" s="365" t="s">
        <v>239</v>
      </c>
      <c r="K23" s="366"/>
      <c r="L23" s="367"/>
      <c r="M23" s="368"/>
      <c r="N23" s="368"/>
      <c r="O23" s="369"/>
    </row>
    <row r="24" spans="1:15" ht="12" customHeight="1" x14ac:dyDescent="0.25">
      <c r="A24" s="390"/>
      <c r="B24" s="1288"/>
      <c r="C24" s="371"/>
      <c r="D24" s="372"/>
      <c r="E24" s="373"/>
      <c r="F24" s="373"/>
      <c r="G24" s="374"/>
      <c r="H24" s="345"/>
      <c r="I24" s="394">
        <v>10.1</v>
      </c>
      <c r="J24" s="376" t="s">
        <v>249</v>
      </c>
      <c r="K24" s="366"/>
      <c r="L24" s="383"/>
      <c r="M24" s="368"/>
      <c r="N24" s="368"/>
      <c r="O24" s="369"/>
    </row>
    <row r="25" spans="1:15" ht="12" customHeight="1" x14ac:dyDescent="0.25">
      <c r="A25" s="390">
        <v>1.1100000000000001</v>
      </c>
      <c r="B25" s="380" t="s">
        <v>182</v>
      </c>
      <c r="C25" s="371">
        <v>1</v>
      </c>
      <c r="D25" s="372" t="s">
        <v>158</v>
      </c>
      <c r="E25" s="373">
        <v>2000</v>
      </c>
      <c r="F25" s="373">
        <f t="shared" si="1"/>
        <v>2000</v>
      </c>
      <c r="G25" s="374">
        <f t="shared" si="0"/>
        <v>3.2573289902280131</v>
      </c>
      <c r="H25" s="377"/>
      <c r="I25" s="395" t="s">
        <v>173</v>
      </c>
      <c r="J25" s="353" t="s">
        <v>286</v>
      </c>
      <c r="K25" s="360">
        <f>C6</f>
        <v>614</v>
      </c>
      <c r="L25" s="396" t="s">
        <v>27</v>
      </c>
      <c r="M25" s="373">
        <v>10</v>
      </c>
      <c r="N25" s="373">
        <f>K25*M25</f>
        <v>6140</v>
      </c>
      <c r="O25" s="391">
        <f>+N25/K$6</f>
        <v>10</v>
      </c>
    </row>
    <row r="26" spans="1:15" ht="12" customHeight="1" x14ac:dyDescent="0.25">
      <c r="A26" s="390">
        <v>1.1200000000000001</v>
      </c>
      <c r="B26" s="380" t="s">
        <v>241</v>
      </c>
      <c r="C26" s="371">
        <v>1</v>
      </c>
      <c r="D26" s="372" t="s">
        <v>158</v>
      </c>
      <c r="E26" s="373">
        <v>10000</v>
      </c>
      <c r="F26" s="373">
        <f>C26*E26</f>
        <v>10000</v>
      </c>
      <c r="G26" s="374">
        <f>+F26/C$6</f>
        <v>16.286644951140065</v>
      </c>
      <c r="H26" s="397"/>
      <c r="I26" s="395" t="s">
        <v>251</v>
      </c>
      <c r="J26" s="398" t="s">
        <v>174</v>
      </c>
      <c r="K26" s="360">
        <v>1</v>
      </c>
      <c r="L26" s="396" t="s">
        <v>158</v>
      </c>
      <c r="M26" s="362">
        <v>2500</v>
      </c>
      <c r="N26" s="373">
        <f>K26*M26</f>
        <v>2500</v>
      </c>
      <c r="O26" s="391">
        <f>+N26/K$6</f>
        <v>4.0716612377850163</v>
      </c>
    </row>
    <row r="27" spans="1:15" ht="12" customHeight="1" x14ac:dyDescent="0.25">
      <c r="A27" s="390">
        <v>1.1299999999999999</v>
      </c>
      <c r="B27" s="380" t="s">
        <v>307</v>
      </c>
      <c r="C27" s="371">
        <v>1</v>
      </c>
      <c r="D27" s="372" t="s">
        <v>158</v>
      </c>
      <c r="E27" s="373">
        <v>10000</v>
      </c>
      <c r="F27" s="373">
        <f>C27*E27</f>
        <v>10000</v>
      </c>
      <c r="G27" s="374">
        <f>+F27/C$6</f>
        <v>16.286644951140065</v>
      </c>
      <c r="H27" s="399"/>
      <c r="I27" s="395" t="s">
        <v>210</v>
      </c>
      <c r="J27" s="398" t="s">
        <v>176</v>
      </c>
      <c r="K27" s="360">
        <v>3</v>
      </c>
      <c r="L27" s="396" t="s">
        <v>155</v>
      </c>
      <c r="M27" s="362">
        <v>250</v>
      </c>
      <c r="N27" s="373">
        <f>K27*M27</f>
        <v>750</v>
      </c>
      <c r="O27" s="391">
        <f>+N27/K$6</f>
        <v>1.221498371335505</v>
      </c>
    </row>
    <row r="28" spans="1:15" ht="12" customHeight="1" x14ac:dyDescent="0.25">
      <c r="A28" s="401"/>
      <c r="B28" s="353"/>
      <c r="C28" s="360"/>
      <c r="D28" s="361"/>
      <c r="E28" s="362"/>
      <c r="F28" s="362"/>
      <c r="G28" s="363"/>
      <c r="H28" s="399"/>
      <c r="I28" s="395" t="s">
        <v>252</v>
      </c>
      <c r="J28" s="398" t="s">
        <v>178</v>
      </c>
      <c r="K28" s="360">
        <f>K6</f>
        <v>614</v>
      </c>
      <c r="L28" s="396" t="s">
        <v>27</v>
      </c>
      <c r="M28" s="373">
        <v>4</v>
      </c>
      <c r="N28" s="373">
        <f>K28*M28</f>
        <v>2456</v>
      </c>
      <c r="O28" s="391">
        <f>+N28/K$6</f>
        <v>4</v>
      </c>
    </row>
    <row r="29" spans="1:15" ht="12" customHeight="1" x14ac:dyDescent="0.25">
      <c r="A29" s="384">
        <f>A9</f>
        <v>1</v>
      </c>
      <c r="B29" s="385" t="s">
        <v>169</v>
      </c>
      <c r="C29" s="403"/>
      <c r="D29" s="404"/>
      <c r="E29" s="405"/>
      <c r="F29" s="405">
        <f>ROUND(SUM(F10:F28),-3)</f>
        <v>95000</v>
      </c>
      <c r="G29" s="406">
        <f>F29/$C$6</f>
        <v>154.72312703583063</v>
      </c>
      <c r="H29" s="400"/>
      <c r="I29" s="394">
        <v>10.199999999999999</v>
      </c>
      <c r="J29" s="376" t="s">
        <v>250</v>
      </c>
      <c r="K29" s="366"/>
      <c r="L29" s="383"/>
      <c r="M29" s="368"/>
      <c r="N29" s="368"/>
      <c r="O29" s="369"/>
    </row>
    <row r="30" spans="1:15" ht="12" customHeight="1" x14ac:dyDescent="0.25">
      <c r="A30" s="407"/>
      <c r="B30" s="359"/>
      <c r="C30" s="408"/>
      <c r="D30" s="409"/>
      <c r="E30" s="410"/>
      <c r="F30" s="410"/>
      <c r="G30" s="411"/>
      <c r="H30" s="345"/>
      <c r="I30" s="395" t="s">
        <v>253</v>
      </c>
      <c r="J30" s="402" t="s">
        <v>291</v>
      </c>
      <c r="K30" s="360">
        <v>1</v>
      </c>
      <c r="L30" s="396" t="s">
        <v>158</v>
      </c>
      <c r="M30" s="362">
        <v>85000</v>
      </c>
      <c r="N30" s="373">
        <f>K30*M30</f>
        <v>85000</v>
      </c>
      <c r="O30" s="391">
        <f>+N30/K$6</f>
        <v>138.43648208469057</v>
      </c>
    </row>
    <row r="31" spans="1:15" ht="12" customHeight="1" x14ac:dyDescent="0.25">
      <c r="A31" s="412">
        <v>2</v>
      </c>
      <c r="B31" s="365" t="s">
        <v>234</v>
      </c>
      <c r="C31" s="413"/>
      <c r="D31" s="414"/>
      <c r="E31" s="415"/>
      <c r="F31" s="368"/>
      <c r="G31" s="369"/>
      <c r="H31" s="345"/>
      <c r="I31" s="395" t="s">
        <v>254</v>
      </c>
      <c r="J31" s="398" t="s">
        <v>180</v>
      </c>
      <c r="K31" s="360">
        <v>300</v>
      </c>
      <c r="L31" s="396" t="s">
        <v>181</v>
      </c>
      <c r="M31" s="362">
        <v>80</v>
      </c>
      <c r="N31" s="373">
        <f t="shared" ref="N31:N67" si="2">K31*M31</f>
        <v>24000</v>
      </c>
      <c r="O31" s="391">
        <f t="shared" ref="O31:O67" si="3">+N31/K$6</f>
        <v>39.087947882736159</v>
      </c>
    </row>
    <row r="32" spans="1:15" ht="12" customHeight="1" x14ac:dyDescent="0.25">
      <c r="A32" s="370">
        <v>2.1</v>
      </c>
      <c r="B32" s="380" t="s">
        <v>186</v>
      </c>
      <c r="C32" s="417">
        <v>1</v>
      </c>
      <c r="D32" s="372" t="s">
        <v>158</v>
      </c>
      <c r="E32" s="373">
        <v>20000</v>
      </c>
      <c r="F32" s="373">
        <f>C32*E32</f>
        <v>20000</v>
      </c>
      <c r="G32" s="391">
        <f>+F32/C$6</f>
        <v>32.573289902280131</v>
      </c>
      <c r="H32" s="345"/>
      <c r="I32" s="395" t="s">
        <v>255</v>
      </c>
      <c r="J32" s="398" t="s">
        <v>183</v>
      </c>
      <c r="K32" s="360">
        <f>K6</f>
        <v>614</v>
      </c>
      <c r="L32" s="396" t="s">
        <v>27</v>
      </c>
      <c r="M32" s="373">
        <v>20</v>
      </c>
      <c r="N32" s="373">
        <f t="shared" si="2"/>
        <v>12280</v>
      </c>
      <c r="O32" s="391">
        <f t="shared" si="3"/>
        <v>20</v>
      </c>
    </row>
    <row r="33" spans="1:15" ht="12" customHeight="1" x14ac:dyDescent="0.25">
      <c r="A33" s="370">
        <v>2.2000000000000002</v>
      </c>
      <c r="B33" s="380" t="s">
        <v>295</v>
      </c>
      <c r="C33" s="417">
        <v>1</v>
      </c>
      <c r="D33" s="372" t="s">
        <v>158</v>
      </c>
      <c r="E33" s="373">
        <v>3000</v>
      </c>
      <c r="F33" s="373">
        <f>C33*E33</f>
        <v>3000</v>
      </c>
      <c r="G33" s="391">
        <f>+F33/C$6</f>
        <v>4.8859934853420199</v>
      </c>
      <c r="H33" s="416"/>
      <c r="I33" s="395" t="s">
        <v>298</v>
      </c>
      <c r="J33" s="398" t="s">
        <v>243</v>
      </c>
      <c r="K33" s="360">
        <v>1</v>
      </c>
      <c r="L33" s="396" t="s">
        <v>158</v>
      </c>
      <c r="M33" s="362">
        <v>500</v>
      </c>
      <c r="N33" s="373">
        <f t="shared" si="2"/>
        <v>500</v>
      </c>
      <c r="O33" s="391">
        <f t="shared" si="3"/>
        <v>0.81433224755700329</v>
      </c>
    </row>
    <row r="34" spans="1:15" ht="12" customHeight="1" x14ac:dyDescent="0.25">
      <c r="A34" s="392"/>
      <c r="B34" s="379"/>
      <c r="C34" s="360"/>
      <c r="D34" s="367"/>
      <c r="E34" s="368"/>
      <c r="F34" s="368"/>
      <c r="G34" s="369"/>
      <c r="H34" s="345"/>
      <c r="I34" s="394">
        <v>10.3</v>
      </c>
      <c r="J34" s="418" t="s">
        <v>256</v>
      </c>
      <c r="K34" s="360"/>
      <c r="L34" s="396"/>
      <c r="M34" s="362"/>
      <c r="N34" s="373"/>
      <c r="O34" s="391"/>
    </row>
    <row r="35" spans="1:15" ht="12" customHeight="1" x14ac:dyDescent="0.25">
      <c r="A35" s="384">
        <f>A31</f>
        <v>2</v>
      </c>
      <c r="B35" s="385" t="s">
        <v>169</v>
      </c>
      <c r="C35" s="403"/>
      <c r="D35" s="404"/>
      <c r="E35" s="405"/>
      <c r="F35" s="405">
        <f>ROUND(SUM(F30:F34),-3)</f>
        <v>23000</v>
      </c>
      <c r="G35" s="406">
        <f>F35/$C$6</f>
        <v>37.45928338762215</v>
      </c>
      <c r="H35" s="345"/>
      <c r="I35" s="378" t="s">
        <v>257</v>
      </c>
      <c r="J35" s="398" t="s">
        <v>287</v>
      </c>
      <c r="K35" s="360">
        <v>1</v>
      </c>
      <c r="L35" s="396" t="s">
        <v>158</v>
      </c>
      <c r="M35" s="362">
        <v>20000</v>
      </c>
      <c r="N35" s="373">
        <f>K35*M35</f>
        <v>20000</v>
      </c>
      <c r="O35" s="391">
        <f>+N35/K$6</f>
        <v>32.573289902280131</v>
      </c>
    </row>
    <row r="36" spans="1:15" ht="12" customHeight="1" x14ac:dyDescent="0.25">
      <c r="A36" s="421"/>
      <c r="B36" s="359"/>
      <c r="C36" s="408"/>
      <c r="D36" s="409"/>
      <c r="E36" s="410"/>
      <c r="F36" s="410"/>
      <c r="G36" s="411"/>
      <c r="H36" s="345"/>
      <c r="I36" s="419" t="s">
        <v>258</v>
      </c>
      <c r="J36" s="398" t="s">
        <v>290</v>
      </c>
      <c r="K36" s="360">
        <v>1</v>
      </c>
      <c r="L36" s="396" t="s">
        <v>158</v>
      </c>
      <c r="M36" s="362">
        <v>15000</v>
      </c>
      <c r="N36" s="373">
        <f t="shared" si="2"/>
        <v>15000</v>
      </c>
      <c r="O36" s="391">
        <f t="shared" si="3"/>
        <v>24.429967426710096</v>
      </c>
    </row>
    <row r="37" spans="1:15" ht="12" customHeight="1" x14ac:dyDescent="0.25">
      <c r="A37" s="412">
        <v>3</v>
      </c>
      <c r="B37" s="365" t="s">
        <v>235</v>
      </c>
      <c r="C37" s="413"/>
      <c r="D37" s="414"/>
      <c r="E37" s="415"/>
      <c r="F37" s="368"/>
      <c r="G37" s="369"/>
      <c r="H37" s="345"/>
      <c r="I37" s="420" t="s">
        <v>288</v>
      </c>
      <c r="J37" s="398" t="s">
        <v>184</v>
      </c>
      <c r="K37" s="360">
        <v>1</v>
      </c>
      <c r="L37" s="396" t="s">
        <v>158</v>
      </c>
      <c r="M37" s="373">
        <v>10500</v>
      </c>
      <c r="N37" s="373">
        <f t="shared" si="2"/>
        <v>10500</v>
      </c>
      <c r="O37" s="391">
        <f t="shared" si="3"/>
        <v>17.10097719869707</v>
      </c>
    </row>
    <row r="38" spans="1:15" ht="12" customHeight="1" x14ac:dyDescent="0.25">
      <c r="A38" s="370">
        <v>3.1</v>
      </c>
      <c r="B38" s="422" t="s">
        <v>247</v>
      </c>
      <c r="C38" s="360">
        <f>ROUNDUP(C6*70/1000,0)</f>
        <v>43</v>
      </c>
      <c r="D38" s="361" t="s">
        <v>193</v>
      </c>
      <c r="E38" s="362">
        <v>2000</v>
      </c>
      <c r="F38" s="373">
        <f>C38*E38</f>
        <v>86000</v>
      </c>
      <c r="G38" s="369">
        <f>+F38/C$6</f>
        <v>140.06514657980455</v>
      </c>
      <c r="H38" s="377"/>
      <c r="I38" s="420" t="s">
        <v>259</v>
      </c>
      <c r="J38" s="398" t="s">
        <v>185</v>
      </c>
      <c r="K38" s="360">
        <f>K6</f>
        <v>614</v>
      </c>
      <c r="L38" s="396" t="s">
        <v>27</v>
      </c>
      <c r="M38" s="362">
        <v>25</v>
      </c>
      <c r="N38" s="373">
        <f t="shared" si="2"/>
        <v>15350</v>
      </c>
      <c r="O38" s="391">
        <f t="shared" si="3"/>
        <v>25</v>
      </c>
    </row>
    <row r="39" spans="1:15" ht="12" customHeight="1" x14ac:dyDescent="0.25">
      <c r="A39" s="370">
        <v>3.2</v>
      </c>
      <c r="B39" s="422" t="s">
        <v>246</v>
      </c>
      <c r="C39" s="423">
        <f>ROUND(C38*0.1,1)</f>
        <v>4.3</v>
      </c>
      <c r="D39" s="361" t="s">
        <v>193</v>
      </c>
      <c r="E39" s="362">
        <v>2000</v>
      </c>
      <c r="F39" s="373">
        <f>C39*E39</f>
        <v>8600</v>
      </c>
      <c r="G39" s="369">
        <f>+F39/C$6</f>
        <v>14.006514657980455</v>
      </c>
      <c r="H39" s="377"/>
      <c r="I39" s="420" t="s">
        <v>289</v>
      </c>
      <c r="J39" s="398" t="s">
        <v>187</v>
      </c>
      <c r="K39" s="360">
        <v>1</v>
      </c>
      <c r="L39" s="396" t="s">
        <v>158</v>
      </c>
      <c r="M39" s="362">
        <v>5000</v>
      </c>
      <c r="N39" s="373">
        <f t="shared" si="2"/>
        <v>5000</v>
      </c>
      <c r="O39" s="391">
        <f t="shared" si="3"/>
        <v>8.1433224755700326</v>
      </c>
    </row>
    <row r="40" spans="1:15" ht="12" customHeight="1" x14ac:dyDescent="0.25">
      <c r="A40" s="370">
        <v>3.3</v>
      </c>
      <c r="B40" s="380" t="s">
        <v>195</v>
      </c>
      <c r="C40" s="360">
        <v>1</v>
      </c>
      <c r="D40" s="361" t="s">
        <v>158</v>
      </c>
      <c r="E40" s="362">
        <v>10000</v>
      </c>
      <c r="F40" s="373">
        <f>C40*E40</f>
        <v>10000</v>
      </c>
      <c r="G40" s="369">
        <f>+F40/C$6</f>
        <v>16.286644951140065</v>
      </c>
      <c r="H40" s="397"/>
      <c r="I40" s="394">
        <v>10.4</v>
      </c>
      <c r="J40" s="418" t="s">
        <v>260</v>
      </c>
      <c r="K40" s="360"/>
      <c r="L40" s="396"/>
      <c r="M40" s="362"/>
      <c r="N40" s="373"/>
      <c r="O40" s="391"/>
    </row>
    <row r="41" spans="1:15" ht="12" customHeight="1" x14ac:dyDescent="0.25">
      <c r="A41" s="370">
        <v>3.4</v>
      </c>
      <c r="B41" s="380" t="s">
        <v>304</v>
      </c>
      <c r="C41" s="360">
        <v>1</v>
      </c>
      <c r="D41" s="361" t="s">
        <v>158</v>
      </c>
      <c r="E41" s="362">
        <v>10000</v>
      </c>
      <c r="F41" s="373">
        <f>C41*E41</f>
        <v>10000</v>
      </c>
      <c r="G41" s="369">
        <f>+F41/C$6</f>
        <v>16.286644951140065</v>
      </c>
      <c r="H41" s="345"/>
      <c r="I41" s="420" t="s">
        <v>261</v>
      </c>
      <c r="J41" s="398" t="s">
        <v>188</v>
      </c>
      <c r="K41" s="360">
        <f>K6</f>
        <v>614</v>
      </c>
      <c r="L41" s="396" t="s">
        <v>27</v>
      </c>
      <c r="M41" s="362">
        <v>45</v>
      </c>
      <c r="N41" s="373">
        <f t="shared" si="2"/>
        <v>27630</v>
      </c>
      <c r="O41" s="391">
        <f t="shared" si="3"/>
        <v>45</v>
      </c>
    </row>
    <row r="42" spans="1:15" ht="12" customHeight="1" x14ac:dyDescent="0.25">
      <c r="A42" s="370">
        <v>3.5</v>
      </c>
      <c r="B42" s="380" t="s">
        <v>198</v>
      </c>
      <c r="C42" s="360">
        <v>1</v>
      </c>
      <c r="D42" s="361" t="s">
        <v>158</v>
      </c>
      <c r="E42" s="362">
        <v>10000</v>
      </c>
      <c r="F42" s="373">
        <f>C42*E42</f>
        <v>10000</v>
      </c>
      <c r="G42" s="363">
        <f>+F42/C$6</f>
        <v>16.286644951140065</v>
      </c>
      <c r="H42" s="345"/>
      <c r="I42" s="420" t="s">
        <v>262</v>
      </c>
      <c r="J42" s="398" t="s">
        <v>189</v>
      </c>
      <c r="K42" s="360">
        <f>K6</f>
        <v>614</v>
      </c>
      <c r="L42" s="396" t="s">
        <v>27</v>
      </c>
      <c r="M42" s="362">
        <v>5</v>
      </c>
      <c r="N42" s="373">
        <f t="shared" si="2"/>
        <v>3070</v>
      </c>
      <c r="O42" s="391">
        <f t="shared" si="3"/>
        <v>5</v>
      </c>
    </row>
    <row r="43" spans="1:15" ht="12" customHeight="1" x14ac:dyDescent="0.25">
      <c r="A43" s="370">
        <v>3.6</v>
      </c>
      <c r="B43" s="380" t="s">
        <v>285</v>
      </c>
      <c r="C43" s="1285" t="s">
        <v>156</v>
      </c>
      <c r="D43" s="1286"/>
      <c r="E43" s="1286"/>
      <c r="F43" s="1286"/>
      <c r="G43" s="1287"/>
      <c r="H43" s="345"/>
      <c r="I43" s="420" t="s">
        <v>263</v>
      </c>
      <c r="J43" s="398" t="s">
        <v>190</v>
      </c>
      <c r="K43" s="360">
        <f>K6</f>
        <v>614</v>
      </c>
      <c r="L43" s="396" t="s">
        <v>27</v>
      </c>
      <c r="M43" s="362">
        <v>10</v>
      </c>
      <c r="N43" s="373">
        <f t="shared" si="2"/>
        <v>6140</v>
      </c>
      <c r="O43" s="391">
        <f t="shared" si="3"/>
        <v>10</v>
      </c>
    </row>
    <row r="44" spans="1:15" ht="12" customHeight="1" x14ac:dyDescent="0.25">
      <c r="A44" s="401"/>
      <c r="B44" s="424"/>
      <c r="C44" s="360"/>
      <c r="D44" s="361"/>
      <c r="E44" s="362"/>
      <c r="F44" s="362"/>
      <c r="G44" s="363"/>
      <c r="H44" s="345"/>
      <c r="I44" s="420" t="s">
        <v>264</v>
      </c>
      <c r="J44" s="398" t="s">
        <v>191</v>
      </c>
      <c r="K44" s="360">
        <v>1</v>
      </c>
      <c r="L44" s="396" t="s">
        <v>155</v>
      </c>
      <c r="M44" s="362">
        <v>500</v>
      </c>
      <c r="N44" s="373">
        <f t="shared" si="2"/>
        <v>500</v>
      </c>
      <c r="O44" s="391">
        <f t="shared" si="3"/>
        <v>0.81433224755700329</v>
      </c>
    </row>
    <row r="45" spans="1:15" ht="12" customHeight="1" x14ac:dyDescent="0.25">
      <c r="A45" s="384">
        <f>A37</f>
        <v>3</v>
      </c>
      <c r="B45" s="385" t="s">
        <v>169</v>
      </c>
      <c r="C45" s="403"/>
      <c r="D45" s="404"/>
      <c r="E45" s="405"/>
      <c r="F45" s="405">
        <f>ROUND(SUM(F36:F44),-3)</f>
        <v>125000</v>
      </c>
      <c r="G45" s="406">
        <f>F45/$C$6</f>
        <v>203.58306188925081</v>
      </c>
      <c r="H45" s="345"/>
      <c r="I45" s="420" t="s">
        <v>265</v>
      </c>
      <c r="J45" s="398" t="s">
        <v>192</v>
      </c>
      <c r="K45" s="360">
        <f>K6</f>
        <v>614</v>
      </c>
      <c r="L45" s="396" t="s">
        <v>27</v>
      </c>
      <c r="M45" s="362">
        <v>20</v>
      </c>
      <c r="N45" s="373">
        <f t="shared" si="2"/>
        <v>12280</v>
      </c>
      <c r="O45" s="391">
        <f t="shared" si="3"/>
        <v>20</v>
      </c>
    </row>
    <row r="46" spans="1:15" ht="12" customHeight="1" x14ac:dyDescent="0.25">
      <c r="A46" s="364"/>
      <c r="B46" s="365"/>
      <c r="C46" s="408"/>
      <c r="D46" s="409"/>
      <c r="E46" s="410"/>
      <c r="F46" s="410"/>
      <c r="G46" s="411"/>
      <c r="H46" s="345"/>
      <c r="I46" s="420" t="s">
        <v>266</v>
      </c>
      <c r="J46" s="398" t="s">
        <v>194</v>
      </c>
      <c r="K46" s="360">
        <v>3</v>
      </c>
      <c r="L46" s="396" t="s">
        <v>155</v>
      </c>
      <c r="M46" s="362">
        <v>4000</v>
      </c>
      <c r="N46" s="373">
        <f t="shared" si="2"/>
        <v>12000</v>
      </c>
      <c r="O46" s="391">
        <f t="shared" si="3"/>
        <v>19.54397394136808</v>
      </c>
    </row>
    <row r="47" spans="1:15" ht="12" customHeight="1" x14ac:dyDescent="0.25">
      <c r="A47" s="364">
        <v>4</v>
      </c>
      <c r="B47" s="425" t="s">
        <v>49</v>
      </c>
      <c r="C47" s="360"/>
      <c r="D47" s="361"/>
      <c r="E47" s="362"/>
      <c r="F47" s="368"/>
      <c r="G47" s="369"/>
      <c r="H47" s="345"/>
      <c r="I47" s="420" t="s">
        <v>267</v>
      </c>
      <c r="J47" s="398" t="s">
        <v>196</v>
      </c>
      <c r="K47" s="360">
        <v>5</v>
      </c>
      <c r="L47" s="396" t="s">
        <v>155</v>
      </c>
      <c r="M47" s="362">
        <v>125</v>
      </c>
      <c r="N47" s="373">
        <f t="shared" si="2"/>
        <v>625</v>
      </c>
      <c r="O47" s="391">
        <f t="shared" si="3"/>
        <v>1.0179153094462541</v>
      </c>
    </row>
    <row r="48" spans="1:15" ht="12" customHeight="1" x14ac:dyDescent="0.25">
      <c r="A48" s="370">
        <v>4.0999999999999996</v>
      </c>
      <c r="B48" s="426" t="s">
        <v>242</v>
      </c>
      <c r="C48" s="360">
        <f>C6</f>
        <v>614</v>
      </c>
      <c r="D48" s="367" t="s">
        <v>27</v>
      </c>
      <c r="E48" s="362">
        <v>250</v>
      </c>
      <c r="F48" s="373">
        <f>C48*E48</f>
        <v>153500</v>
      </c>
      <c r="G48" s="369">
        <f>+F48/C$6</f>
        <v>250</v>
      </c>
      <c r="H48" s="345"/>
      <c r="I48" s="420" t="s">
        <v>268</v>
      </c>
      <c r="J48" s="398" t="s">
        <v>197</v>
      </c>
      <c r="K48" s="360">
        <v>3</v>
      </c>
      <c r="L48" s="396" t="s">
        <v>155</v>
      </c>
      <c r="M48" s="362">
        <v>125</v>
      </c>
      <c r="N48" s="373">
        <f t="shared" si="2"/>
        <v>375</v>
      </c>
      <c r="O48" s="391">
        <f t="shared" si="3"/>
        <v>0.61074918566775249</v>
      </c>
    </row>
    <row r="49" spans="1:15" ht="12" customHeight="1" x14ac:dyDescent="0.25">
      <c r="A49" s="370">
        <f>A48+0.1</f>
        <v>4.1999999999999993</v>
      </c>
      <c r="B49" s="426" t="s">
        <v>205</v>
      </c>
      <c r="C49" s="360">
        <v>1</v>
      </c>
      <c r="D49" s="367" t="s">
        <v>158</v>
      </c>
      <c r="E49" s="362">
        <v>10000</v>
      </c>
      <c r="F49" s="373">
        <f>C49*E49</f>
        <v>10000</v>
      </c>
      <c r="G49" s="369">
        <f>+F49/C$6</f>
        <v>16.286644951140065</v>
      </c>
      <c r="H49" s="345"/>
      <c r="I49" s="420" t="s">
        <v>269</v>
      </c>
      <c r="J49" s="398" t="s">
        <v>199</v>
      </c>
      <c r="K49" s="360">
        <v>1</v>
      </c>
      <c r="L49" s="396" t="s">
        <v>155</v>
      </c>
      <c r="M49" s="362">
        <v>1000</v>
      </c>
      <c r="N49" s="373">
        <f t="shared" si="2"/>
        <v>1000</v>
      </c>
      <c r="O49" s="391">
        <f t="shared" si="3"/>
        <v>1.6286644951140066</v>
      </c>
    </row>
    <row r="50" spans="1:15" ht="12" customHeight="1" x14ac:dyDescent="0.25">
      <c r="A50" s="370">
        <f>A49+0.1</f>
        <v>4.2999999999999989</v>
      </c>
      <c r="B50" s="426" t="s">
        <v>207</v>
      </c>
      <c r="C50" s="360">
        <v>74</v>
      </c>
      <c r="D50" s="367" t="s">
        <v>153</v>
      </c>
      <c r="E50" s="362">
        <v>150</v>
      </c>
      <c r="F50" s="373">
        <f>C50*E50</f>
        <v>11100</v>
      </c>
      <c r="G50" s="369">
        <f>+F50/C$6</f>
        <v>18.078175895765472</v>
      </c>
      <c r="H50" s="345"/>
      <c r="I50" s="420" t="s">
        <v>270</v>
      </c>
      <c r="J50" s="398" t="s">
        <v>232</v>
      </c>
      <c r="K50" s="360">
        <v>1</v>
      </c>
      <c r="L50" s="396" t="s">
        <v>158</v>
      </c>
      <c r="M50" s="362">
        <v>5000</v>
      </c>
      <c r="N50" s="373">
        <f t="shared" si="2"/>
        <v>5000</v>
      </c>
      <c r="O50" s="391">
        <f t="shared" si="3"/>
        <v>8.1433224755700326</v>
      </c>
    </row>
    <row r="51" spans="1:15" ht="12" customHeight="1" x14ac:dyDescent="0.25">
      <c r="A51" s="370">
        <f>A50+0.1</f>
        <v>4.3999999999999986</v>
      </c>
      <c r="B51" s="426" t="s">
        <v>208</v>
      </c>
      <c r="C51" s="360">
        <v>1</v>
      </c>
      <c r="D51" s="367" t="s">
        <v>158</v>
      </c>
      <c r="E51" s="362">
        <v>5000</v>
      </c>
      <c r="F51" s="373">
        <f>C51*E51</f>
        <v>5000</v>
      </c>
      <c r="G51" s="369">
        <f>+F51/C$6</f>
        <v>8.1433224755700326</v>
      </c>
      <c r="H51" s="345"/>
      <c r="I51" s="420" t="s">
        <v>271</v>
      </c>
      <c r="J51" s="398" t="s">
        <v>301</v>
      </c>
      <c r="K51" s="360">
        <v>1</v>
      </c>
      <c r="L51" s="396" t="s">
        <v>158</v>
      </c>
      <c r="M51" s="362">
        <v>3200</v>
      </c>
      <c r="N51" s="373">
        <f t="shared" si="2"/>
        <v>3200</v>
      </c>
      <c r="O51" s="391">
        <f t="shared" si="3"/>
        <v>5.2117263843648205</v>
      </c>
    </row>
    <row r="52" spans="1:15" ht="12" customHeight="1" x14ac:dyDescent="0.25">
      <c r="A52" s="392"/>
      <c r="B52" s="426"/>
      <c r="C52" s="360"/>
      <c r="D52" s="361"/>
      <c r="E52" s="362"/>
      <c r="F52" s="427"/>
      <c r="G52" s="369"/>
      <c r="H52" s="345"/>
      <c r="I52" s="394">
        <v>10.5</v>
      </c>
      <c r="J52" s="418" t="s">
        <v>272</v>
      </c>
      <c r="K52" s="360"/>
      <c r="L52" s="396"/>
      <c r="M52" s="362"/>
      <c r="N52" s="373"/>
      <c r="O52" s="391"/>
    </row>
    <row r="53" spans="1:15" ht="12" customHeight="1" x14ac:dyDescent="0.25">
      <c r="A53" s="384">
        <f>A47</f>
        <v>4</v>
      </c>
      <c r="B53" s="385" t="s">
        <v>169</v>
      </c>
      <c r="C53" s="403"/>
      <c r="D53" s="404"/>
      <c r="E53" s="405"/>
      <c r="F53" s="405">
        <f>ROUND(SUM(F46:F52),-3)</f>
        <v>180000</v>
      </c>
      <c r="G53" s="406">
        <f>F53/$C$6</f>
        <v>293.15960912052117</v>
      </c>
      <c r="H53" s="345"/>
      <c r="I53" s="420" t="s">
        <v>273</v>
      </c>
      <c r="J53" s="398" t="s">
        <v>200</v>
      </c>
      <c r="K53" s="360">
        <v>1</v>
      </c>
      <c r="L53" s="396" t="s">
        <v>158</v>
      </c>
      <c r="M53" s="362">
        <v>20000</v>
      </c>
      <c r="N53" s="373">
        <f t="shared" si="2"/>
        <v>20000</v>
      </c>
      <c r="O53" s="391">
        <f t="shared" si="3"/>
        <v>32.573289902280131</v>
      </c>
    </row>
    <row r="54" spans="1:15" ht="12" customHeight="1" x14ac:dyDescent="0.25">
      <c r="A54" s="428"/>
      <c r="B54" s="429"/>
      <c r="C54" s="430"/>
      <c r="D54" s="431"/>
      <c r="E54" s="432"/>
      <c r="F54" s="432"/>
      <c r="G54" s="433"/>
      <c r="H54" s="345"/>
      <c r="I54" s="394">
        <v>10.6</v>
      </c>
      <c r="J54" s="418" t="s">
        <v>81</v>
      </c>
      <c r="K54" s="1285" t="s">
        <v>156</v>
      </c>
      <c r="L54" s="1286"/>
      <c r="M54" s="1286"/>
      <c r="N54" s="1286"/>
      <c r="O54" s="1287"/>
    </row>
    <row r="55" spans="1:15" ht="12" customHeight="1" x14ac:dyDescent="0.25">
      <c r="A55" s="364">
        <v>5</v>
      </c>
      <c r="B55" s="365" t="s">
        <v>120</v>
      </c>
      <c r="C55" s="408"/>
      <c r="D55" s="409"/>
      <c r="E55" s="410"/>
      <c r="F55" s="410"/>
      <c r="G55" s="411"/>
      <c r="H55" s="345"/>
      <c r="I55" s="394">
        <v>10.7</v>
      </c>
      <c r="J55" s="418" t="s">
        <v>274</v>
      </c>
      <c r="K55" s="360"/>
      <c r="L55" s="396"/>
      <c r="M55" s="362"/>
      <c r="N55" s="373"/>
      <c r="O55" s="391"/>
    </row>
    <row r="56" spans="1:15" ht="12" customHeight="1" x14ac:dyDescent="0.25">
      <c r="A56" s="370">
        <v>5.0999999999999996</v>
      </c>
      <c r="B56" s="434" t="s">
        <v>305</v>
      </c>
      <c r="C56" s="360">
        <v>1</v>
      </c>
      <c r="D56" s="367" t="s">
        <v>158</v>
      </c>
      <c r="E56" s="362">
        <v>25000</v>
      </c>
      <c r="F56" s="373">
        <f>C56*E56</f>
        <v>25000</v>
      </c>
      <c r="G56" s="369">
        <f>+F56/C$6</f>
        <v>40.716612377850161</v>
      </c>
      <c r="H56" s="345"/>
      <c r="I56" s="420" t="s">
        <v>275</v>
      </c>
      <c r="J56" s="398" t="s">
        <v>201</v>
      </c>
      <c r="K56" s="360">
        <f>K6</f>
        <v>614</v>
      </c>
      <c r="L56" s="396" t="s">
        <v>27</v>
      </c>
      <c r="M56" s="362">
        <v>5</v>
      </c>
      <c r="N56" s="373">
        <f t="shared" si="2"/>
        <v>3070</v>
      </c>
      <c r="O56" s="391">
        <f t="shared" si="3"/>
        <v>5</v>
      </c>
    </row>
    <row r="57" spans="1:15" ht="12" customHeight="1" x14ac:dyDescent="0.25">
      <c r="A57" s="370">
        <f>A56+0.1</f>
        <v>5.1999999999999993</v>
      </c>
      <c r="B57" s="398" t="s">
        <v>294</v>
      </c>
      <c r="C57" s="360">
        <v>1</v>
      </c>
      <c r="D57" s="367" t="s">
        <v>158</v>
      </c>
      <c r="E57" s="362">
        <v>5000</v>
      </c>
      <c r="F57" s="373">
        <f>C57*E57</f>
        <v>5000</v>
      </c>
      <c r="G57" s="369">
        <f>+F57/C$6</f>
        <v>8.1433224755700326</v>
      </c>
      <c r="H57" s="345"/>
      <c r="I57" s="420" t="s">
        <v>276</v>
      </c>
      <c r="J57" s="398" t="s">
        <v>202</v>
      </c>
      <c r="K57" s="360">
        <v>1</v>
      </c>
      <c r="L57" s="396" t="s">
        <v>158</v>
      </c>
      <c r="M57" s="362">
        <v>2000</v>
      </c>
      <c r="N57" s="373">
        <f t="shared" si="2"/>
        <v>2000</v>
      </c>
      <c r="O57" s="391">
        <f t="shared" si="3"/>
        <v>3.2573289902280131</v>
      </c>
    </row>
    <row r="58" spans="1:15" ht="12" customHeight="1" x14ac:dyDescent="0.25">
      <c r="A58" s="392"/>
      <c r="B58" s="426"/>
      <c r="C58" s="360"/>
      <c r="D58" s="361"/>
      <c r="E58" s="362"/>
      <c r="F58" s="368"/>
      <c r="G58" s="369"/>
      <c r="H58" s="345"/>
      <c r="I58" s="420" t="s">
        <v>277</v>
      </c>
      <c r="J58" s="398" t="s">
        <v>244</v>
      </c>
      <c r="K58" s="360">
        <f>K6</f>
        <v>614</v>
      </c>
      <c r="L58" s="396" t="s">
        <v>27</v>
      </c>
      <c r="M58" s="362">
        <v>15</v>
      </c>
      <c r="N58" s="373">
        <f>K58*M58</f>
        <v>9210</v>
      </c>
      <c r="O58" s="391">
        <f>+N58/K$6</f>
        <v>15</v>
      </c>
    </row>
    <row r="59" spans="1:15" ht="12" customHeight="1" x14ac:dyDescent="0.25">
      <c r="A59" s="384">
        <f>A55</f>
        <v>5</v>
      </c>
      <c r="B59" s="385" t="s">
        <v>169</v>
      </c>
      <c r="C59" s="403"/>
      <c r="D59" s="404"/>
      <c r="E59" s="405"/>
      <c r="F59" s="405">
        <f>ROUND(SUM(F54:F58),-3)</f>
        <v>30000</v>
      </c>
      <c r="G59" s="406">
        <f>F59/$C$6</f>
        <v>48.859934853420192</v>
      </c>
      <c r="H59" s="345"/>
      <c r="I59" s="420" t="s">
        <v>278</v>
      </c>
      <c r="J59" s="398" t="s">
        <v>203</v>
      </c>
      <c r="K59" s="360">
        <v>1</v>
      </c>
      <c r="L59" s="396" t="s">
        <v>158</v>
      </c>
      <c r="M59" s="362">
        <v>6000</v>
      </c>
      <c r="N59" s="373">
        <f t="shared" si="2"/>
        <v>6000</v>
      </c>
      <c r="O59" s="391">
        <f t="shared" si="3"/>
        <v>9.7719869706840399</v>
      </c>
    </row>
    <row r="60" spans="1:15" ht="12" customHeight="1" x14ac:dyDescent="0.25">
      <c r="A60" s="421"/>
      <c r="B60" s="359"/>
      <c r="C60" s="408"/>
      <c r="D60" s="409"/>
      <c r="E60" s="410"/>
      <c r="F60" s="410"/>
      <c r="G60" s="411"/>
      <c r="H60" s="345"/>
      <c r="I60" s="394">
        <v>10.8</v>
      </c>
      <c r="J60" s="418" t="s">
        <v>279</v>
      </c>
      <c r="K60" s="360"/>
      <c r="L60" s="396"/>
      <c r="M60" s="362"/>
      <c r="N60" s="373"/>
      <c r="O60" s="391"/>
    </row>
    <row r="61" spans="1:15" ht="12" customHeight="1" x14ac:dyDescent="0.25">
      <c r="A61" s="412">
        <v>6</v>
      </c>
      <c r="B61" s="365" t="s">
        <v>236</v>
      </c>
      <c r="C61" s="413"/>
      <c r="D61" s="414"/>
      <c r="E61" s="415"/>
      <c r="F61" s="368"/>
      <c r="G61" s="369"/>
      <c r="H61" s="345"/>
      <c r="I61" s="420" t="s">
        <v>280</v>
      </c>
      <c r="J61" s="398" t="s">
        <v>204</v>
      </c>
      <c r="K61" s="360">
        <f>K6</f>
        <v>614</v>
      </c>
      <c r="L61" s="396" t="s">
        <v>27</v>
      </c>
      <c r="M61" s="362">
        <v>15</v>
      </c>
      <c r="N61" s="373">
        <f t="shared" si="2"/>
        <v>9210</v>
      </c>
      <c r="O61" s="391">
        <f t="shared" si="3"/>
        <v>15</v>
      </c>
    </row>
    <row r="62" spans="1:15" ht="12" customHeight="1" x14ac:dyDescent="0.25">
      <c r="A62" s="378">
        <v>6.1</v>
      </c>
      <c r="B62" s="398" t="s">
        <v>214</v>
      </c>
      <c r="C62" s="360">
        <v>714</v>
      </c>
      <c r="D62" s="361" t="s">
        <v>27</v>
      </c>
      <c r="E62" s="362">
        <v>150</v>
      </c>
      <c r="F62" s="368">
        <f t="shared" ref="F62:F71" si="4">+E62*C62</f>
        <v>107100</v>
      </c>
      <c r="G62" s="369">
        <f t="shared" ref="G62:G71" si="5">ROUND(F62/$C$6,2)</f>
        <v>174.43</v>
      </c>
      <c r="H62" s="345"/>
      <c r="I62" s="420" t="s">
        <v>281</v>
      </c>
      <c r="J62" s="398" t="s">
        <v>206</v>
      </c>
      <c r="K62" s="360">
        <f>K6</f>
        <v>614</v>
      </c>
      <c r="L62" s="396" t="s">
        <v>27</v>
      </c>
      <c r="M62" s="362">
        <v>20</v>
      </c>
      <c r="N62" s="373">
        <f t="shared" si="2"/>
        <v>12280</v>
      </c>
      <c r="O62" s="391">
        <f t="shared" si="3"/>
        <v>20</v>
      </c>
    </row>
    <row r="63" spans="1:15" ht="12" customHeight="1" x14ac:dyDescent="0.25">
      <c r="A63" s="370">
        <f>A62+0.1</f>
        <v>6.1999999999999993</v>
      </c>
      <c r="B63" s="1288" t="s">
        <v>227</v>
      </c>
      <c r="C63" s="360">
        <f>ROUND(C10*0.85,0)</f>
        <v>394</v>
      </c>
      <c r="D63" s="361" t="s">
        <v>27</v>
      </c>
      <c r="E63" s="362">
        <v>150</v>
      </c>
      <c r="F63" s="368">
        <f t="shared" si="4"/>
        <v>59100</v>
      </c>
      <c r="G63" s="369">
        <f t="shared" si="5"/>
        <v>96.25</v>
      </c>
      <c r="H63" s="345"/>
      <c r="I63" s="420" t="s">
        <v>282</v>
      </c>
      <c r="J63" s="398" t="s">
        <v>248</v>
      </c>
      <c r="K63" s="360">
        <v>1</v>
      </c>
      <c r="L63" s="396" t="s">
        <v>158</v>
      </c>
      <c r="M63" s="362">
        <v>5000</v>
      </c>
      <c r="N63" s="373">
        <f t="shared" si="2"/>
        <v>5000</v>
      </c>
      <c r="O63" s="374">
        <f t="shared" si="3"/>
        <v>8.1433224755700326</v>
      </c>
    </row>
    <row r="64" spans="1:15" ht="12" customHeight="1" x14ac:dyDescent="0.25">
      <c r="A64" s="370"/>
      <c r="B64" s="1288"/>
      <c r="C64" s="360"/>
      <c r="D64" s="361"/>
      <c r="E64" s="362"/>
      <c r="F64" s="368"/>
      <c r="G64" s="369"/>
      <c r="H64" s="345"/>
      <c r="I64" s="420" t="s">
        <v>283</v>
      </c>
      <c r="J64" s="398" t="s">
        <v>230</v>
      </c>
      <c r="K64" s="360">
        <f>K6</f>
        <v>614</v>
      </c>
      <c r="L64" s="396" t="s">
        <v>27</v>
      </c>
      <c r="M64" s="362">
        <v>15</v>
      </c>
      <c r="N64" s="373">
        <f t="shared" si="2"/>
        <v>9210</v>
      </c>
      <c r="O64" s="391">
        <f t="shared" si="3"/>
        <v>15</v>
      </c>
    </row>
    <row r="65" spans="1:15" ht="12" customHeight="1" x14ac:dyDescent="0.25">
      <c r="A65" s="370">
        <v>6.3</v>
      </c>
      <c r="B65" s="436" t="s">
        <v>306</v>
      </c>
      <c r="C65" s="360">
        <f>C62-C63</f>
        <v>320</v>
      </c>
      <c r="D65" s="361" t="s">
        <v>27</v>
      </c>
      <c r="E65" s="362">
        <v>340</v>
      </c>
      <c r="F65" s="368">
        <f t="shared" si="4"/>
        <v>108800</v>
      </c>
      <c r="G65" s="369">
        <f t="shared" si="5"/>
        <v>177.2</v>
      </c>
      <c r="H65" s="377"/>
      <c r="I65" s="390"/>
      <c r="J65" s="398" t="s">
        <v>231</v>
      </c>
      <c r="K65" s="360"/>
      <c r="L65" s="396"/>
      <c r="M65" s="362"/>
      <c r="N65" s="373"/>
      <c r="O65" s="391"/>
    </row>
    <row r="66" spans="1:15" ht="12" customHeight="1" x14ac:dyDescent="0.25">
      <c r="A66" s="370">
        <v>6.4</v>
      </c>
      <c r="B66" s="436" t="s">
        <v>215</v>
      </c>
      <c r="C66" s="360">
        <v>4</v>
      </c>
      <c r="D66" s="361" t="s">
        <v>155</v>
      </c>
      <c r="E66" s="362">
        <v>2500</v>
      </c>
      <c r="F66" s="368">
        <f t="shared" si="4"/>
        <v>10000</v>
      </c>
      <c r="G66" s="369">
        <f t="shared" si="5"/>
        <v>16.29</v>
      </c>
      <c r="H66" s="377"/>
      <c r="I66" s="394">
        <v>10.9</v>
      </c>
      <c r="J66" s="418" t="s">
        <v>284</v>
      </c>
      <c r="K66" s="360"/>
      <c r="L66" s="396"/>
      <c r="M66" s="362"/>
      <c r="N66" s="373"/>
      <c r="O66" s="391"/>
    </row>
    <row r="67" spans="1:15" ht="12" customHeight="1" x14ac:dyDescent="0.25">
      <c r="A67" s="370">
        <v>6.5</v>
      </c>
      <c r="B67" s="436" t="s">
        <v>217</v>
      </c>
      <c r="C67" s="360">
        <v>1</v>
      </c>
      <c r="D67" s="361" t="s">
        <v>158</v>
      </c>
      <c r="E67" s="362">
        <v>10000</v>
      </c>
      <c r="F67" s="368">
        <f t="shared" si="4"/>
        <v>10000</v>
      </c>
      <c r="G67" s="369">
        <f t="shared" si="5"/>
        <v>16.29</v>
      </c>
      <c r="H67" s="377"/>
      <c r="I67" s="420" t="s">
        <v>302</v>
      </c>
      <c r="J67" s="398" t="s">
        <v>209</v>
      </c>
      <c r="K67" s="360">
        <f>K6</f>
        <v>614</v>
      </c>
      <c r="L67" s="396" t="s">
        <v>27</v>
      </c>
      <c r="M67" s="362">
        <v>25</v>
      </c>
      <c r="N67" s="373">
        <f t="shared" si="2"/>
        <v>15350</v>
      </c>
      <c r="O67" s="391">
        <f t="shared" si="3"/>
        <v>25</v>
      </c>
    </row>
    <row r="68" spans="1:15" ht="12" customHeight="1" x14ac:dyDescent="0.25">
      <c r="A68" s="370">
        <v>6.6</v>
      </c>
      <c r="B68" s="436" t="s">
        <v>218</v>
      </c>
      <c r="C68" s="360">
        <f>C13+5+6</f>
        <v>102</v>
      </c>
      <c r="D68" s="361" t="s">
        <v>153</v>
      </c>
      <c r="E68" s="362">
        <v>100</v>
      </c>
      <c r="F68" s="368">
        <f t="shared" si="4"/>
        <v>10200</v>
      </c>
      <c r="G68" s="369">
        <f t="shared" si="5"/>
        <v>16.61</v>
      </c>
      <c r="H68" s="377"/>
      <c r="I68" s="435">
        <v>10.1</v>
      </c>
      <c r="J68" s="418" t="s">
        <v>211</v>
      </c>
      <c r="K68" s="360">
        <v>10</v>
      </c>
      <c r="L68" s="396" t="s">
        <v>59</v>
      </c>
      <c r="M68" s="362">
        <f>SUM(N25:N67)</f>
        <v>362626</v>
      </c>
      <c r="N68" s="373">
        <f>ROUND(K68*M68/100,0)</f>
        <v>36263</v>
      </c>
      <c r="O68" s="369">
        <f>ROUND(N68/$C$6,2)</f>
        <v>59.06</v>
      </c>
    </row>
    <row r="69" spans="1:15" ht="12" customHeight="1" x14ac:dyDescent="0.25">
      <c r="A69" s="370">
        <v>6.7</v>
      </c>
      <c r="B69" s="436" t="s">
        <v>219</v>
      </c>
      <c r="C69" s="360">
        <v>39</v>
      </c>
      <c r="D69" s="361" t="s">
        <v>153</v>
      </c>
      <c r="E69" s="362">
        <v>100</v>
      </c>
      <c r="F69" s="368">
        <f t="shared" si="4"/>
        <v>3900</v>
      </c>
      <c r="G69" s="369">
        <f t="shared" si="5"/>
        <v>6.35</v>
      </c>
      <c r="H69" s="377"/>
      <c r="I69" s="392"/>
      <c r="J69" s="393"/>
      <c r="K69" s="360"/>
      <c r="L69" s="383"/>
      <c r="M69" s="368"/>
      <c r="N69" s="368"/>
      <c r="O69" s="369"/>
    </row>
    <row r="70" spans="1:15" ht="12" customHeight="1" thickBot="1" x14ac:dyDescent="0.3">
      <c r="A70" s="370">
        <v>6.8</v>
      </c>
      <c r="B70" s="436" t="s">
        <v>228</v>
      </c>
      <c r="C70" s="360">
        <f>C11</f>
        <v>74</v>
      </c>
      <c r="D70" s="361" t="s">
        <v>153</v>
      </c>
      <c r="E70" s="362">
        <v>100</v>
      </c>
      <c r="F70" s="368">
        <f t="shared" si="4"/>
        <v>7400</v>
      </c>
      <c r="G70" s="369">
        <f t="shared" si="5"/>
        <v>12.05</v>
      </c>
      <c r="H70" s="377"/>
      <c r="I70" s="384">
        <f>+I23</f>
        <v>10</v>
      </c>
      <c r="J70" s="385" t="s">
        <v>169</v>
      </c>
      <c r="K70" s="386"/>
      <c r="L70" s="387"/>
      <c r="M70" s="388"/>
      <c r="N70" s="388">
        <f>ROUND(SUM(N22:N69),-3)</f>
        <v>399000</v>
      </c>
      <c r="O70" s="389">
        <f>N70/$C$6</f>
        <v>649.8371335504886</v>
      </c>
    </row>
    <row r="71" spans="1:15" ht="12" customHeight="1" x14ac:dyDescent="0.25">
      <c r="A71" s="370">
        <v>6.9</v>
      </c>
      <c r="B71" s="436" t="s">
        <v>220</v>
      </c>
      <c r="C71" s="360">
        <f>8*2</f>
        <v>16</v>
      </c>
      <c r="D71" s="361" t="s">
        <v>153</v>
      </c>
      <c r="E71" s="362">
        <v>200</v>
      </c>
      <c r="F71" s="368">
        <f t="shared" si="4"/>
        <v>3200</v>
      </c>
      <c r="G71" s="369">
        <f t="shared" si="5"/>
        <v>5.21</v>
      </c>
      <c r="H71" s="377"/>
      <c r="I71" s="381"/>
      <c r="J71" s="365"/>
      <c r="K71" s="366"/>
      <c r="L71" s="367"/>
      <c r="M71" s="368"/>
      <c r="N71" s="368"/>
      <c r="O71" s="369"/>
    </row>
    <row r="72" spans="1:15" ht="12" customHeight="1" x14ac:dyDescent="0.25">
      <c r="A72" s="392"/>
      <c r="B72" s="426"/>
      <c r="C72" s="360"/>
      <c r="D72" s="367"/>
      <c r="E72" s="362"/>
      <c r="F72" s="368"/>
      <c r="G72" s="369"/>
      <c r="H72" s="397"/>
      <c r="I72" s="364">
        <v>11</v>
      </c>
      <c r="J72" s="365" t="s">
        <v>240</v>
      </c>
      <c r="K72" s="366"/>
      <c r="L72" s="367"/>
      <c r="M72" s="368"/>
      <c r="N72" s="368"/>
      <c r="O72" s="369"/>
    </row>
    <row r="73" spans="1:15" ht="12" customHeight="1" x14ac:dyDescent="0.25">
      <c r="A73" s="384">
        <f>A61</f>
        <v>6</v>
      </c>
      <c r="B73" s="385" t="s">
        <v>169</v>
      </c>
      <c r="C73" s="403"/>
      <c r="D73" s="404"/>
      <c r="E73" s="405"/>
      <c r="F73" s="405">
        <f>ROUND(SUM(F60:F72),-3)</f>
        <v>320000</v>
      </c>
      <c r="G73" s="406">
        <f>F73/$C$6</f>
        <v>521.17263843648209</v>
      </c>
      <c r="I73" s="370">
        <v>11.1</v>
      </c>
      <c r="J73" s="379" t="s">
        <v>212</v>
      </c>
      <c r="K73" s="366">
        <v>1</v>
      </c>
      <c r="L73" s="367" t="s">
        <v>158</v>
      </c>
      <c r="M73" s="368">
        <v>10000</v>
      </c>
      <c r="N73" s="373">
        <f>K73*M73</f>
        <v>10000</v>
      </c>
      <c r="O73" s="369">
        <f>ROUND(N73/$C$6,2)</f>
        <v>16.29</v>
      </c>
    </row>
    <row r="74" spans="1:15" ht="12" customHeight="1" x14ac:dyDescent="0.25">
      <c r="A74" s="421"/>
      <c r="B74" s="359"/>
      <c r="C74" s="408"/>
      <c r="D74" s="409"/>
      <c r="E74" s="410"/>
      <c r="F74" s="410"/>
      <c r="G74" s="411"/>
      <c r="I74" s="370">
        <f>I73+0.1</f>
        <v>11.2</v>
      </c>
      <c r="J74" s="379" t="s">
        <v>213</v>
      </c>
      <c r="K74" s="366">
        <v>1</v>
      </c>
      <c r="L74" s="367" t="s">
        <v>158</v>
      </c>
      <c r="M74" s="368">
        <v>10000</v>
      </c>
      <c r="N74" s="373">
        <f>K74*M74</f>
        <v>10000</v>
      </c>
      <c r="O74" s="369">
        <f>ROUND(N74/$C$6,2)</f>
        <v>16.29</v>
      </c>
    </row>
    <row r="75" spans="1:15" ht="12" customHeight="1" x14ac:dyDescent="0.25">
      <c r="A75" s="412">
        <v>7</v>
      </c>
      <c r="B75" s="365" t="s">
        <v>237</v>
      </c>
      <c r="C75" s="413"/>
      <c r="D75" s="444"/>
      <c r="E75" s="368"/>
      <c r="F75" s="368"/>
      <c r="G75" s="369"/>
      <c r="I75" s="370">
        <v>11.3</v>
      </c>
      <c r="J75" s="379" t="s">
        <v>303</v>
      </c>
      <c r="K75" s="366">
        <v>1</v>
      </c>
      <c r="L75" s="367" t="s">
        <v>158</v>
      </c>
      <c r="M75" s="368">
        <v>10000</v>
      </c>
      <c r="N75" s="373">
        <f>K75*M75</f>
        <v>10000</v>
      </c>
      <c r="O75" s="369">
        <f>ROUND(N75/$C$6,2)</f>
        <v>16.29</v>
      </c>
    </row>
    <row r="76" spans="1:15" ht="12" customHeight="1" x14ac:dyDescent="0.25">
      <c r="A76" s="378">
        <v>7.1</v>
      </c>
      <c r="B76" s="422" t="s">
        <v>221</v>
      </c>
      <c r="C76" s="360">
        <v>2</v>
      </c>
      <c r="D76" s="361" t="s">
        <v>155</v>
      </c>
      <c r="E76" s="362">
        <v>1500</v>
      </c>
      <c r="F76" s="368">
        <f>+E76*C76</f>
        <v>3000</v>
      </c>
      <c r="G76" s="369">
        <f>ROUND(F76/$C$6,2)</f>
        <v>4.8899999999999997</v>
      </c>
      <c r="I76" s="370">
        <v>11.4</v>
      </c>
      <c r="J76" s="353" t="s">
        <v>229</v>
      </c>
      <c r="K76" s="1285" t="s">
        <v>156</v>
      </c>
      <c r="L76" s="1286"/>
      <c r="M76" s="1286"/>
      <c r="N76" s="1286"/>
      <c r="O76" s="1287"/>
    </row>
    <row r="77" spans="1:15" ht="12" customHeight="1" x14ac:dyDescent="0.25">
      <c r="A77" s="451">
        <f>A76+0.1</f>
        <v>7.1999999999999993</v>
      </c>
      <c r="B77" s="353" t="s">
        <v>222</v>
      </c>
      <c r="C77" s="1285" t="s">
        <v>156</v>
      </c>
      <c r="D77" s="1286"/>
      <c r="E77" s="1286"/>
      <c r="F77" s="1286"/>
      <c r="G77" s="1287"/>
      <c r="I77" s="392"/>
      <c r="J77" s="429"/>
      <c r="K77" s="360"/>
      <c r="L77" s="383"/>
      <c r="M77" s="368"/>
      <c r="N77" s="368"/>
      <c r="O77" s="369"/>
    </row>
    <row r="78" spans="1:15" ht="12" customHeight="1" thickBot="1" x14ac:dyDescent="0.3">
      <c r="A78" s="375"/>
      <c r="B78" s="452"/>
      <c r="C78" s="366"/>
      <c r="D78" s="367"/>
      <c r="E78" s="368"/>
      <c r="F78" s="368"/>
      <c r="G78" s="369"/>
      <c r="I78" s="437">
        <f>+I72</f>
        <v>11</v>
      </c>
      <c r="J78" s="438" t="s">
        <v>169</v>
      </c>
      <c r="K78" s="386"/>
      <c r="L78" s="387"/>
      <c r="M78" s="388"/>
      <c r="N78" s="388">
        <f>ROUND(SUM(N71:N76),-3)</f>
        <v>30000</v>
      </c>
      <c r="O78" s="389">
        <f>N78/$C$6</f>
        <v>48.859934853420192</v>
      </c>
    </row>
    <row r="79" spans="1:15" ht="12" customHeight="1" thickBot="1" x14ac:dyDescent="0.3">
      <c r="A79" s="384">
        <f>A75</f>
        <v>7</v>
      </c>
      <c r="B79" s="385" t="s">
        <v>169</v>
      </c>
      <c r="C79" s="386"/>
      <c r="D79" s="387"/>
      <c r="E79" s="453"/>
      <c r="F79" s="388">
        <f>SUM(F75:F78)</f>
        <v>3000</v>
      </c>
      <c r="G79" s="389">
        <f>F79/$C$6</f>
        <v>4.8859934853420199</v>
      </c>
      <c r="I79" s="439"/>
      <c r="J79" s="440"/>
      <c r="K79" s="441"/>
      <c r="L79" s="442"/>
      <c r="M79" s="441"/>
      <c r="N79" s="441"/>
      <c r="O79" s="443"/>
    </row>
    <row r="80" spans="1:15" ht="12" thickBot="1" x14ac:dyDescent="0.3">
      <c r="I80" s="445">
        <v>12</v>
      </c>
      <c r="J80" s="446" t="s">
        <v>216</v>
      </c>
      <c r="K80" s="447"/>
      <c r="L80" s="448"/>
      <c r="M80" s="449"/>
      <c r="N80" s="449">
        <f>ROUND(N78+N70+N21+N16+F79+F73+F59+F53+F45+F35+F29,-3)</f>
        <v>1229000</v>
      </c>
      <c r="O80" s="450">
        <f>N80/$C$6</f>
        <v>2001.628664495114</v>
      </c>
    </row>
    <row r="81" spans="9:15" ht="12" customHeight="1" x14ac:dyDescent="0.25">
      <c r="L81" s="225"/>
    </row>
    <row r="82" spans="9:15" ht="12.75" customHeight="1" x14ac:dyDescent="0.25">
      <c r="L82" s="225"/>
    </row>
    <row r="83" spans="9:15" ht="10.5" customHeight="1" x14ac:dyDescent="0.25">
      <c r="L83" s="225"/>
    </row>
    <row r="84" spans="9:15" ht="12.75" customHeight="1" x14ac:dyDescent="0.25">
      <c r="L84" s="225"/>
    </row>
    <row r="85" spans="9:15" ht="12.75" customHeight="1" x14ac:dyDescent="0.25">
      <c r="L85" s="225"/>
    </row>
    <row r="86" spans="9:15" ht="12.75" customHeight="1" x14ac:dyDescent="0.25">
      <c r="L86" s="225"/>
    </row>
    <row r="87" spans="9:15" ht="12.75" customHeight="1" x14ac:dyDescent="0.25">
      <c r="L87" s="225"/>
    </row>
    <row r="88" spans="9:15" ht="12.75" customHeight="1" x14ac:dyDescent="0.25">
      <c r="L88" s="225"/>
    </row>
    <row r="89" spans="9:15" ht="12.75" customHeight="1" x14ac:dyDescent="0.25">
      <c r="L89" s="225"/>
    </row>
    <row r="90" spans="9:15" ht="12.75" customHeight="1" x14ac:dyDescent="0.25">
      <c r="L90" s="225"/>
    </row>
    <row r="91" spans="9:15" ht="12.75" customHeight="1" x14ac:dyDescent="0.25">
      <c r="L91" s="225"/>
    </row>
    <row r="92" spans="9:15" ht="12.75" customHeight="1" x14ac:dyDescent="0.25">
      <c r="L92" s="225"/>
    </row>
    <row r="93" spans="9:15" ht="12.75" customHeight="1" x14ac:dyDescent="0.25">
      <c r="I93" s="454"/>
      <c r="J93" s="440"/>
      <c r="K93" s="441"/>
      <c r="L93" s="442"/>
      <c r="M93" s="455"/>
      <c r="N93" s="455"/>
      <c r="O93" s="443"/>
    </row>
    <row r="94" spans="9:15" ht="12.75" customHeight="1" x14ac:dyDescent="0.25">
      <c r="I94" s="454"/>
      <c r="J94" s="440"/>
      <c r="K94" s="441"/>
      <c r="L94" s="442"/>
      <c r="M94" s="455"/>
      <c r="N94" s="455"/>
      <c r="O94" s="443"/>
    </row>
  </sheetData>
  <sheetProtection selectLockedCells="1"/>
  <customSheetViews>
    <customSheetView guid="{2B0692CF-4177-422C-A620-ABA6158FDE4D}" showPageBreaks="1" printArea="1" state="hidden" view="pageBreakPreview">
      <selection activeCell="B26" sqref="B26"/>
      <pageMargins left="0.74803149606299213" right="0.74803149606299213" top="0.78740157480314965" bottom="0.98425196850393704" header="0.51181102362204722" footer="0.51181102362204722"/>
      <pageSetup paperSize="8" scale="76" orientation="landscape" cellComments="asDisplayed" r:id="rId1"/>
      <headerFooter alignWithMargins="0">
        <oddHeader>&amp;L&amp;"Arial,Bold"&amp;7Davis Langdon, An AECOM Company</oddHeader>
        <oddFooter>&amp;L&amp;"Arial,Bold"&amp;7Program, Cost, Consultancy&amp;"Arial,Regular"
www.davislangdon.com
www.aecom.com&amp;R&amp;8Page &amp;P</oddFooter>
      </headerFooter>
    </customSheetView>
    <customSheetView guid="{6C33A4D3-AF33-443C-A522-C1A990C51A36}" showPageBreaks="1" printArea="1" state="hidden" view="pageBreakPreview">
      <selection activeCell="B26" sqref="B26"/>
      <pageMargins left="0.74803149606299213" right="0.74803149606299213" top="0.78740157480314965" bottom="0.98425196850393704" header="0.51181102362204722" footer="0.51181102362204722"/>
      <pageSetup paperSize="8" scale="76" orientation="landscape" cellComments="asDisplayed" r:id="rId2"/>
      <headerFooter alignWithMargins="0">
        <oddHeader>&amp;L&amp;"Arial,Bold"&amp;7Davis Langdon, An AECOM Company</oddHeader>
        <oddFooter>&amp;L&amp;"Arial,Bold"&amp;7Program, Cost, Consultancy&amp;"Arial,Regular"
www.davislangdon.com
www.aecom.com&amp;R&amp;8Page &amp;P</oddFooter>
      </headerFooter>
    </customSheetView>
  </customSheetViews>
  <mergeCells count="13">
    <mergeCell ref="C77:G77"/>
    <mergeCell ref="K14:O14"/>
    <mergeCell ref="K54:O54"/>
    <mergeCell ref="B63:B64"/>
    <mergeCell ref="N4:O4"/>
    <mergeCell ref="K76:O76"/>
    <mergeCell ref="B14:B15"/>
    <mergeCell ref="B16:B17"/>
    <mergeCell ref="B19:B20"/>
    <mergeCell ref="B21:B22"/>
    <mergeCell ref="B23:B24"/>
    <mergeCell ref="C43:G43"/>
    <mergeCell ref="K10:O10"/>
  </mergeCells>
  <phoneticPr fontId="4" type="noConversion"/>
  <pageMargins left="0.74803149606299213" right="0.74803149606299213" top="0.78740157480314965" bottom="0.98425196850393704" header="0.51181102362204722" footer="0.51181102362204722"/>
  <pageSetup paperSize="8" scale="76" orientation="landscape" cellComments="asDisplayed" r:id="rId3"/>
  <headerFooter alignWithMargins="0">
    <oddHeader>&amp;L&amp;"Arial,Bold"&amp;7Davis Langdon, An AECOM Company</oddHeader>
    <oddFooter>&amp;L&amp;"Arial,Bold"&amp;7Program, Cost, Consultancy&amp;"Arial,Regular"
www.davislangdon.com
www.aecom.com&amp;R&amp;8Page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8">
    <tabColor indexed="22"/>
  </sheetPr>
  <dimension ref="A1:X35"/>
  <sheetViews>
    <sheetView showGridLines="0" view="pageBreakPreview" zoomScaleNormal="100" zoomScaleSheetLayoutView="100" workbookViewId="0">
      <selection activeCell="T23" sqref="T23"/>
    </sheetView>
  </sheetViews>
  <sheetFormatPr defaultColWidth="9" defaultRowHeight="12.75" customHeight="1" x14ac:dyDescent="0.25"/>
  <cols>
    <col min="1" max="1" width="5.58203125" style="229" customWidth="1"/>
    <col min="2" max="2" width="13.33203125" style="229" customWidth="1"/>
    <col min="3" max="3" width="8.58203125" style="229" customWidth="1"/>
    <col min="4" max="4" width="6.6640625" style="229" bestFit="1" customWidth="1"/>
    <col min="5" max="5" width="8.08203125" style="229" bestFit="1" customWidth="1"/>
    <col min="6" max="6" width="6.6640625" style="229" bestFit="1" customWidth="1"/>
    <col min="7" max="9" width="8.08203125" style="229" customWidth="1"/>
    <col min="10" max="10" width="6.6640625" style="229" bestFit="1" customWidth="1"/>
    <col min="11" max="11" width="7.6640625" style="229" bestFit="1" customWidth="1"/>
    <col min="12" max="12" width="6.6640625" style="229" bestFit="1" customWidth="1"/>
    <col min="13" max="13" width="7.1640625" style="229" bestFit="1" customWidth="1"/>
    <col min="14" max="14" width="6.6640625" style="229" bestFit="1" customWidth="1"/>
    <col min="15" max="15" width="6.08203125" style="229" customWidth="1"/>
    <col min="16" max="16" width="19" style="229" customWidth="1"/>
    <col min="17" max="17" width="7.6640625" style="229" bestFit="1" customWidth="1"/>
    <col min="18" max="18" width="7.08203125" style="229" customWidth="1"/>
    <col min="19" max="19" width="7.58203125" style="229" customWidth="1"/>
    <col min="20" max="20" width="6.83203125" style="229" customWidth="1"/>
    <col min="21" max="21" width="9" style="229"/>
    <col min="22" max="22" width="7" style="229" customWidth="1"/>
    <col min="23" max="23" width="7.58203125" style="229" customWidth="1"/>
    <col min="24" max="24" width="6.83203125" style="229" customWidth="1"/>
    <col min="25" max="16384" width="9" style="229"/>
  </cols>
  <sheetData>
    <row r="1" spans="1:24" ht="19" x14ac:dyDescent="0.4">
      <c r="A1" s="227" t="s">
        <v>10</v>
      </c>
      <c r="B1" s="228" t="s">
        <v>4</v>
      </c>
      <c r="O1" s="230" t="str">
        <f>A1</f>
        <v>5.0</v>
      </c>
      <c r="P1" s="231" t="str">
        <f>B1</f>
        <v>Benchmarking Analysis (Continued)</v>
      </c>
    </row>
    <row r="2" spans="1:24" ht="12.75" customHeight="1" x14ac:dyDescent="0.25">
      <c r="A2" s="232"/>
      <c r="B2" s="233"/>
      <c r="O2" s="232"/>
      <c r="P2" s="233"/>
    </row>
    <row r="3" spans="1:24" ht="12.75" customHeight="1" x14ac:dyDescent="0.25">
      <c r="A3" s="234" t="s">
        <v>133</v>
      </c>
      <c r="B3" s="233" t="s">
        <v>5</v>
      </c>
      <c r="O3" s="234" t="str">
        <f>A3</f>
        <v>5.2</v>
      </c>
      <c r="P3" s="233" t="str">
        <f>B3 &amp; " (Continued)"</f>
        <v>Elemental Analysis of Shell &amp; Core Costs (Continued)</v>
      </c>
    </row>
    <row r="4" spans="1:24" ht="12.75" customHeight="1" x14ac:dyDescent="0.25">
      <c r="A4" s="232"/>
      <c r="B4" s="233"/>
    </row>
    <row r="5" spans="1:24" ht="12.75" customHeight="1" x14ac:dyDescent="0.3">
      <c r="A5" s="229" t="s">
        <v>146</v>
      </c>
    </row>
    <row r="6" spans="1:24" ht="12.75" customHeight="1" x14ac:dyDescent="0.25">
      <c r="K6" s="235"/>
      <c r="L6" s="235"/>
      <c r="M6" s="235"/>
      <c r="N6" s="235"/>
      <c r="O6" s="235"/>
    </row>
    <row r="7" spans="1:24" ht="12.75" customHeight="1" x14ac:dyDescent="0.25">
      <c r="A7" s="236" t="s">
        <v>6</v>
      </c>
      <c r="B7" s="237"/>
      <c r="C7" s="1294" t="e">
        <f>#REF!</f>
        <v>#REF!</v>
      </c>
      <c r="D7" s="1295"/>
      <c r="E7" s="1295"/>
      <c r="F7" s="1296"/>
      <c r="G7" s="1291" t="s">
        <v>0</v>
      </c>
      <c r="H7" s="1292"/>
      <c r="I7" s="1292"/>
      <c r="J7" s="1293"/>
      <c r="K7" s="1291" t="s">
        <v>1</v>
      </c>
      <c r="L7" s="1292"/>
      <c r="M7" s="1292"/>
      <c r="N7" s="1293"/>
      <c r="O7" s="236" t="s">
        <v>6</v>
      </c>
      <c r="P7" s="238"/>
      <c r="Q7" s="1291" t="s">
        <v>2</v>
      </c>
      <c r="R7" s="1292"/>
      <c r="S7" s="1292"/>
      <c r="T7" s="1293"/>
      <c r="U7" s="1291" t="s">
        <v>3</v>
      </c>
      <c r="V7" s="1292"/>
      <c r="W7" s="1292"/>
      <c r="X7" s="1293"/>
    </row>
    <row r="8" spans="1:24" ht="12.75" customHeight="1" x14ac:dyDescent="0.25">
      <c r="A8" s="236" t="s">
        <v>7</v>
      </c>
      <c r="B8" s="237"/>
      <c r="C8" s="239"/>
      <c r="D8" s="240"/>
      <c r="E8" s="240"/>
      <c r="F8" s="241"/>
      <c r="G8" s="242"/>
      <c r="H8" s="243"/>
      <c r="I8" s="243"/>
      <c r="J8" s="244"/>
      <c r="K8" s="242"/>
      <c r="L8" s="243"/>
      <c r="M8" s="243"/>
      <c r="N8" s="244"/>
      <c r="O8" s="236" t="s">
        <v>7</v>
      </c>
      <c r="P8" s="243"/>
      <c r="Q8" s="242"/>
      <c r="R8" s="243"/>
      <c r="S8" s="243"/>
      <c r="T8" s="244"/>
      <c r="U8" s="242"/>
      <c r="V8" s="243"/>
      <c r="W8" s="243"/>
      <c r="X8" s="244"/>
    </row>
    <row r="9" spans="1:24" ht="12.75" customHeight="1" x14ac:dyDescent="0.25">
      <c r="A9" s="245" t="s">
        <v>113</v>
      </c>
      <c r="B9" s="246"/>
      <c r="C9" s="226">
        <v>10000</v>
      </c>
      <c r="D9" s="247" t="s">
        <v>27</v>
      </c>
      <c r="E9" s="175">
        <f>IF(C9="","",C9*10.764)</f>
        <v>107640</v>
      </c>
      <c r="F9" s="248"/>
      <c r="G9" s="293">
        <v>10000</v>
      </c>
      <c r="H9" s="249" t="s">
        <v>27</v>
      </c>
      <c r="I9" s="173">
        <f>IF(G9="","",G9*10.764)</f>
        <v>107640</v>
      </c>
      <c r="J9" s="250"/>
      <c r="K9" s="293">
        <v>8000</v>
      </c>
      <c r="L9" s="249" t="s">
        <v>27</v>
      </c>
      <c r="M9" s="251" t="str">
        <f>IF(K9="","",TEXT(ROUNDUP(K9*10.764,-2),"#,##0")&amp;" ft²")</f>
        <v>86,200 ft²</v>
      </c>
      <c r="N9" s="250"/>
      <c r="O9" s="245" t="s">
        <v>113</v>
      </c>
      <c r="P9" s="251"/>
      <c r="Q9" s="293">
        <v>8000</v>
      </c>
      <c r="R9" s="249" t="s">
        <v>27</v>
      </c>
      <c r="S9" s="251" t="str">
        <f>IF(Q9="","",TEXT(ROUNDUP(Q9*10.764,-2),"#,##0")&amp;" ft²")</f>
        <v>86,200 ft²</v>
      </c>
      <c r="T9" s="250"/>
      <c r="U9" s="293">
        <v>8000</v>
      </c>
      <c r="V9" s="249" t="s">
        <v>27</v>
      </c>
      <c r="W9" s="251" t="str">
        <f>IF(U9="","",TEXT(ROUNDUP(U9*10.764,-2),"#,##0")&amp;" ft²")</f>
        <v>86,200 ft²</v>
      </c>
      <c r="X9" s="250"/>
    </row>
    <row r="10" spans="1:24" ht="12.75" customHeight="1" x14ac:dyDescent="0.3">
      <c r="A10" s="236" t="s">
        <v>8</v>
      </c>
      <c r="B10" s="237"/>
      <c r="C10" s="176">
        <v>39174</v>
      </c>
      <c r="D10" s="252"/>
      <c r="E10" s="240" t="s">
        <v>60</v>
      </c>
      <c r="F10" s="177">
        <v>520</v>
      </c>
      <c r="G10" s="294">
        <v>38809</v>
      </c>
      <c r="H10" s="253"/>
      <c r="I10" s="243" t="s">
        <v>60</v>
      </c>
      <c r="J10" s="295">
        <v>450</v>
      </c>
      <c r="K10" s="294">
        <v>38900</v>
      </c>
      <c r="L10" s="253"/>
      <c r="M10" s="243" t="s">
        <v>60</v>
      </c>
      <c r="N10" s="244">
        <v>450</v>
      </c>
      <c r="O10" s="236" t="s">
        <v>8</v>
      </c>
      <c r="P10" s="243"/>
      <c r="Q10" s="294">
        <v>38900</v>
      </c>
      <c r="R10" s="253"/>
      <c r="S10" s="243" t="s">
        <v>60</v>
      </c>
      <c r="T10" s="244">
        <v>450</v>
      </c>
      <c r="U10" s="294">
        <v>38900</v>
      </c>
      <c r="V10" s="253"/>
      <c r="W10" s="243" t="s">
        <v>60</v>
      </c>
      <c r="X10" s="244">
        <v>450</v>
      </c>
    </row>
    <row r="11" spans="1:24" ht="12.75" customHeight="1" x14ac:dyDescent="0.25">
      <c r="A11" s="254" t="s">
        <v>43</v>
      </c>
      <c r="B11" s="246"/>
      <c r="C11" s="178" t="s">
        <v>44</v>
      </c>
      <c r="D11" s="178" t="s">
        <v>144</v>
      </c>
      <c r="E11" s="178" t="s">
        <v>145</v>
      </c>
      <c r="F11" s="248" t="s">
        <v>59</v>
      </c>
      <c r="G11" s="174" t="s">
        <v>44</v>
      </c>
      <c r="H11" s="174" t="s">
        <v>144</v>
      </c>
      <c r="I11" s="174" t="s">
        <v>145</v>
      </c>
      <c r="J11" s="250" t="s">
        <v>59</v>
      </c>
      <c r="K11" s="174" t="s">
        <v>44</v>
      </c>
      <c r="L11" s="174" t="s">
        <v>144</v>
      </c>
      <c r="M11" s="174" t="s">
        <v>145</v>
      </c>
      <c r="N11" s="250" t="s">
        <v>59</v>
      </c>
      <c r="O11" s="254" t="s">
        <v>43</v>
      </c>
      <c r="P11" s="251"/>
      <c r="Q11" s="174" t="s">
        <v>44</v>
      </c>
      <c r="R11" s="174" t="s">
        <v>144</v>
      </c>
      <c r="S11" s="174" t="s">
        <v>145</v>
      </c>
      <c r="T11" s="250" t="s">
        <v>59</v>
      </c>
      <c r="U11" s="174" t="s">
        <v>44</v>
      </c>
      <c r="V11" s="174" t="s">
        <v>144</v>
      </c>
      <c r="W11" s="174" t="s">
        <v>145</v>
      </c>
      <c r="X11" s="250" t="s">
        <v>59</v>
      </c>
    </row>
    <row r="12" spans="1:24" ht="12.75" customHeight="1" x14ac:dyDescent="0.25">
      <c r="A12" s="255" t="s">
        <v>46</v>
      </c>
      <c r="B12" s="255"/>
      <c r="C12" s="172">
        <v>800000</v>
      </c>
      <c r="D12" s="256">
        <f t="shared" ref="D12:D26" si="0">IF(ISERROR(C12/C$9),"",IF(A12="","",IF(C$9="","",C12/C$9)))</f>
        <v>80</v>
      </c>
      <c r="E12" s="257">
        <f t="shared" ref="E12:E26" si="1">IF(ISERROR(C12/C$9),"",IF(A12="","",IF(C$9="","",C12/(C$9*10.764))))</f>
        <v>7.4321813452248238</v>
      </c>
      <c r="F12" s="258">
        <f t="shared" ref="F12:F26" ca="1" si="2">IF(A12="","",IF(ISERROR(C12/C$30),"",(C12/C$30)))</f>
        <v>0.10514556088585135</v>
      </c>
      <c r="G12" s="172">
        <v>600000</v>
      </c>
      <c r="H12" s="256">
        <f t="shared" ref="H12:H26" si="3">IF(ISERROR(G12/G$9),"",IF(A12="","",IF(G$9="","",G12/G$9)))</f>
        <v>60</v>
      </c>
      <c r="I12" s="257">
        <f t="shared" ref="I12:I26" si="4">IF(ISERROR(G12/G$9),"",IF(A12="","",IF(G$9="","",G12/(G$9*10.764))))</f>
        <v>5.574136008918618</v>
      </c>
      <c r="J12" s="258">
        <f t="shared" ref="J12:J26" ca="1" si="5">IF($A12="","",IF(ISERROR(G12/G$30),"",(G12/G$30)))</f>
        <v>0.10692328254477412</v>
      </c>
      <c r="K12" s="172">
        <v>600000</v>
      </c>
      <c r="L12" s="256">
        <f>IF(ISERROR(K12/K$9),"",IF(E12="","",IF(K$9="","",K12/K$9)))</f>
        <v>75</v>
      </c>
      <c r="M12" s="257">
        <f>IF(ISERROR(K12/K$9),"",IF(E12="","",IF(K$9="","",K12/(K$9*10.764))))</f>
        <v>6.9676700111482717</v>
      </c>
      <c r="N12" s="258">
        <f t="shared" ref="N12:N26" ca="1" si="6">IF($A12="","",IF(ISERROR(K12/K$30),"",(K12/K$30)))</f>
        <v>8.6046178115588692E-2</v>
      </c>
      <c r="O12" s="259" t="str">
        <f>A12</f>
        <v>Substructure</v>
      </c>
      <c r="P12" s="260"/>
      <c r="Q12" s="172">
        <v>600000</v>
      </c>
      <c r="R12" s="256">
        <f>IF(ISERROR(Q12/Q$9),"",IF(I12="","",IF(Q$9="","",Q12/Q$9)))</f>
        <v>75</v>
      </c>
      <c r="S12" s="257">
        <f>IF(ISERROR(Q12/Q$9),"",IF(I12="","",IF(Q$9="","",Q12/(Q$9*10.764))))</f>
        <v>6.9676700111482717</v>
      </c>
      <c r="T12" s="258">
        <f t="shared" ref="T12:T26" ca="1" si="7">IF($A12="","",IF(ISERROR(Q12/Q$30),"",(Q12/Q$30)))</f>
        <v>8.6046178115588692E-2</v>
      </c>
      <c r="U12" s="172">
        <v>600000</v>
      </c>
      <c r="V12" s="256">
        <f>IF(ISERROR(U12/U$9),"",IF(M12="","",IF(U$9="","",U12/U$9)))</f>
        <v>75</v>
      </c>
      <c r="W12" s="257">
        <f>IF(ISERROR(U12/U$9),"",IF(M12="","",IF(U$9="","",U12/(U$9*10.764))))</f>
        <v>6.9676700111482717</v>
      </c>
      <c r="X12" s="258">
        <f t="shared" ref="X12:X26" ca="1" si="8">IF($A12="","",IF(ISERROR(U12/U$30),"",(U12/U$30)))</f>
        <v>8.6046178115588692E-2</v>
      </c>
    </row>
    <row r="13" spans="1:24" ht="12.75" customHeight="1" x14ac:dyDescent="0.25">
      <c r="A13" s="1290" t="s">
        <v>47</v>
      </c>
      <c r="B13" s="1290"/>
      <c r="C13" s="172">
        <v>1200000</v>
      </c>
      <c r="D13" s="256">
        <f t="shared" si="0"/>
        <v>120</v>
      </c>
      <c r="E13" s="257">
        <f t="shared" si="1"/>
        <v>11.148272017837236</v>
      </c>
      <c r="F13" s="258">
        <f t="shared" ca="1" si="2"/>
        <v>0.15771834132877702</v>
      </c>
      <c r="G13" s="172">
        <v>750000</v>
      </c>
      <c r="H13" s="256">
        <f t="shared" si="3"/>
        <v>75</v>
      </c>
      <c r="I13" s="257">
        <f t="shared" si="4"/>
        <v>6.9676700111482717</v>
      </c>
      <c r="J13" s="258">
        <f t="shared" ca="1" si="5"/>
        <v>0.13365410318096765</v>
      </c>
      <c r="K13" s="172">
        <v>750000</v>
      </c>
      <c r="L13" s="256">
        <f t="shared" ref="L13:L26" si="9">IF(ISERROR(K13/K$9),"",IF(E13="","",IF(K$9="","",K13/K$9)))</f>
        <v>93.75</v>
      </c>
      <c r="M13" s="257">
        <f t="shared" ref="M13:M26" si="10">IF(ISERROR(K13/K$9),"",IF(E13="","",IF(K$9="","",K13/(K$9*10.764))))</f>
        <v>8.7095875139353396</v>
      </c>
      <c r="N13" s="258">
        <f t="shared" ca="1" si="6"/>
        <v>0.10755772264448588</v>
      </c>
      <c r="O13" s="261" t="str">
        <f t="shared" ref="O13:O29" si="11">A13</f>
        <v>Frame</v>
      </c>
      <c r="P13" s="262"/>
      <c r="Q13" s="172">
        <v>750000</v>
      </c>
      <c r="R13" s="256">
        <f t="shared" ref="R13:R26" si="12">IF(ISERROR(Q13/Q$9),"",IF(I13="","",IF(Q$9="","",Q13/Q$9)))</f>
        <v>93.75</v>
      </c>
      <c r="S13" s="257">
        <f t="shared" ref="S13:S26" si="13">IF(ISERROR(Q13/Q$9),"",IF(I13="","",IF(Q$9="","",Q13/(Q$9*10.764))))</f>
        <v>8.7095875139353396</v>
      </c>
      <c r="T13" s="258">
        <f t="shared" ca="1" si="7"/>
        <v>0.10755772264448588</v>
      </c>
      <c r="U13" s="172">
        <v>750000</v>
      </c>
      <c r="V13" s="256">
        <f t="shared" ref="V13:V26" si="14">IF(ISERROR(U13/U$9),"",IF(M13="","",IF(U$9="","",U13/U$9)))</f>
        <v>93.75</v>
      </c>
      <c r="W13" s="257">
        <f t="shared" ref="W13:W26" si="15">IF(ISERROR(U13/U$9),"",IF(M13="","",IF(U$9="","",U13/(U$9*10.764))))</f>
        <v>8.7095875139353396</v>
      </c>
      <c r="X13" s="258">
        <f t="shared" ca="1" si="8"/>
        <v>0.10755772264448588</v>
      </c>
    </row>
    <row r="14" spans="1:24" ht="12.75" customHeight="1" x14ac:dyDescent="0.25">
      <c r="A14" s="1290" t="s">
        <v>48</v>
      </c>
      <c r="B14" s="1290"/>
      <c r="C14" s="172">
        <v>70000</v>
      </c>
      <c r="D14" s="256">
        <f t="shared" si="0"/>
        <v>7</v>
      </c>
      <c r="E14" s="257">
        <f t="shared" si="1"/>
        <v>0.65031586770717209</v>
      </c>
      <c r="F14" s="258">
        <f t="shared" ca="1" si="2"/>
        <v>9.2002365775119936E-3</v>
      </c>
      <c r="G14" s="172">
        <v>70000</v>
      </c>
      <c r="H14" s="256">
        <f t="shared" si="3"/>
        <v>7</v>
      </c>
      <c r="I14" s="257">
        <f t="shared" si="4"/>
        <v>0.65031586770717209</v>
      </c>
      <c r="J14" s="258">
        <f t="shared" ca="1" si="5"/>
        <v>1.2474382963556982E-2</v>
      </c>
      <c r="K14" s="172">
        <v>70000</v>
      </c>
      <c r="L14" s="256">
        <f t="shared" si="9"/>
        <v>8.75</v>
      </c>
      <c r="M14" s="257">
        <f t="shared" si="10"/>
        <v>0.81289483463396506</v>
      </c>
      <c r="N14" s="258">
        <f t="shared" ca="1" si="6"/>
        <v>1.0038720780152015E-2</v>
      </c>
      <c r="O14" s="263" t="str">
        <f t="shared" si="11"/>
        <v>Upper Floors and Stairs</v>
      </c>
      <c r="P14" s="264"/>
      <c r="Q14" s="172">
        <v>70000</v>
      </c>
      <c r="R14" s="256">
        <f t="shared" si="12"/>
        <v>8.75</v>
      </c>
      <c r="S14" s="257">
        <f t="shared" si="13"/>
        <v>0.81289483463396506</v>
      </c>
      <c r="T14" s="258">
        <f t="shared" ca="1" si="7"/>
        <v>1.0038720780152015E-2</v>
      </c>
      <c r="U14" s="172">
        <v>70000</v>
      </c>
      <c r="V14" s="256">
        <f t="shared" si="14"/>
        <v>8.75</v>
      </c>
      <c r="W14" s="257">
        <f t="shared" si="15"/>
        <v>0.81289483463396506</v>
      </c>
      <c r="X14" s="258">
        <f t="shared" ca="1" si="8"/>
        <v>1.0038720780152015E-2</v>
      </c>
    </row>
    <row r="15" spans="1:24" ht="12.75" customHeight="1" x14ac:dyDescent="0.25">
      <c r="A15" s="1290" t="s">
        <v>49</v>
      </c>
      <c r="B15" s="1290"/>
      <c r="C15" s="172">
        <v>50000</v>
      </c>
      <c r="D15" s="256">
        <f t="shared" si="0"/>
        <v>5</v>
      </c>
      <c r="E15" s="257">
        <f t="shared" si="1"/>
        <v>0.46451133407655149</v>
      </c>
      <c r="F15" s="258">
        <f t="shared" ca="1" si="2"/>
        <v>6.5715975553657094E-3</v>
      </c>
      <c r="G15" s="172">
        <v>50000</v>
      </c>
      <c r="H15" s="256">
        <f t="shared" si="3"/>
        <v>5</v>
      </c>
      <c r="I15" s="257">
        <f t="shared" si="4"/>
        <v>0.46451133407655149</v>
      </c>
      <c r="J15" s="258">
        <f t="shared" ca="1" si="5"/>
        <v>8.910273545397843E-3</v>
      </c>
      <c r="K15" s="172">
        <v>50000</v>
      </c>
      <c r="L15" s="256">
        <f t="shared" si="9"/>
        <v>6.25</v>
      </c>
      <c r="M15" s="257">
        <f t="shared" si="10"/>
        <v>0.58063916759568934</v>
      </c>
      <c r="N15" s="258">
        <f t="shared" ca="1" si="6"/>
        <v>7.1705148429657252E-3</v>
      </c>
      <c r="O15" s="259" t="str">
        <f t="shared" si="11"/>
        <v>Roof</v>
      </c>
      <c r="P15" s="260"/>
      <c r="Q15" s="172">
        <v>50000</v>
      </c>
      <c r="R15" s="256">
        <f t="shared" si="12"/>
        <v>6.25</v>
      </c>
      <c r="S15" s="257">
        <f t="shared" si="13"/>
        <v>0.58063916759568934</v>
      </c>
      <c r="T15" s="258">
        <f t="shared" ca="1" si="7"/>
        <v>7.1705148429657252E-3</v>
      </c>
      <c r="U15" s="172">
        <v>50000</v>
      </c>
      <c r="V15" s="256">
        <f t="shared" si="14"/>
        <v>6.25</v>
      </c>
      <c r="W15" s="257">
        <f t="shared" si="15"/>
        <v>0.58063916759568934</v>
      </c>
      <c r="X15" s="258">
        <f t="shared" ca="1" si="8"/>
        <v>7.1705148429657252E-3</v>
      </c>
    </row>
    <row r="16" spans="1:24" ht="12.75" customHeight="1" x14ac:dyDescent="0.25">
      <c r="A16" s="1290" t="s">
        <v>50</v>
      </c>
      <c r="B16" s="1290"/>
      <c r="C16" s="172">
        <v>1500000</v>
      </c>
      <c r="D16" s="256">
        <f t="shared" si="0"/>
        <v>150</v>
      </c>
      <c r="E16" s="257">
        <f t="shared" si="1"/>
        <v>13.935340022296543</v>
      </c>
      <c r="F16" s="258">
        <f t="shared" ca="1" si="2"/>
        <v>0.19714792666097128</v>
      </c>
      <c r="G16" s="172">
        <v>1000000</v>
      </c>
      <c r="H16" s="256">
        <f t="shared" si="3"/>
        <v>100</v>
      </c>
      <c r="I16" s="257">
        <f t="shared" si="4"/>
        <v>9.2902266815310295</v>
      </c>
      <c r="J16" s="258">
        <f t="shared" ca="1" si="5"/>
        <v>0.17820547090795688</v>
      </c>
      <c r="K16" s="172">
        <v>1000000</v>
      </c>
      <c r="L16" s="256">
        <f t="shared" si="9"/>
        <v>125</v>
      </c>
      <c r="M16" s="257">
        <f t="shared" si="10"/>
        <v>11.612783351913787</v>
      </c>
      <c r="N16" s="258">
        <f t="shared" ca="1" si="6"/>
        <v>0.1434102968593145</v>
      </c>
      <c r="O16" s="259" t="str">
        <f t="shared" si="11"/>
        <v>External Walls and Doors</v>
      </c>
      <c r="P16" s="260"/>
      <c r="Q16" s="172">
        <v>1000000</v>
      </c>
      <c r="R16" s="256">
        <f t="shared" si="12"/>
        <v>125</v>
      </c>
      <c r="S16" s="257">
        <f t="shared" si="13"/>
        <v>11.612783351913787</v>
      </c>
      <c r="T16" s="258">
        <f t="shared" ca="1" si="7"/>
        <v>0.1434102968593145</v>
      </c>
      <c r="U16" s="172">
        <v>1000000</v>
      </c>
      <c r="V16" s="256">
        <f t="shared" si="14"/>
        <v>125</v>
      </c>
      <c r="W16" s="257">
        <f t="shared" si="15"/>
        <v>11.612783351913787</v>
      </c>
      <c r="X16" s="258">
        <f t="shared" ca="1" si="8"/>
        <v>0.1434102968593145</v>
      </c>
    </row>
    <row r="17" spans="1:24" ht="12.75" customHeight="1" x14ac:dyDescent="0.25">
      <c r="A17" s="1290" t="s">
        <v>51</v>
      </c>
      <c r="B17" s="1290"/>
      <c r="C17" s="172">
        <v>50000</v>
      </c>
      <c r="D17" s="256">
        <f t="shared" si="0"/>
        <v>5</v>
      </c>
      <c r="E17" s="257">
        <f t="shared" si="1"/>
        <v>0.46451133407655149</v>
      </c>
      <c r="F17" s="258">
        <f t="shared" ca="1" si="2"/>
        <v>6.5715975553657094E-3</v>
      </c>
      <c r="G17" s="172">
        <v>50000</v>
      </c>
      <c r="H17" s="256">
        <f t="shared" si="3"/>
        <v>5</v>
      </c>
      <c r="I17" s="257">
        <f t="shared" si="4"/>
        <v>0.46451133407655149</v>
      </c>
      <c r="J17" s="258">
        <f t="shared" ca="1" si="5"/>
        <v>8.910273545397843E-3</v>
      </c>
      <c r="K17" s="172">
        <v>600000</v>
      </c>
      <c r="L17" s="256">
        <f t="shared" si="9"/>
        <v>75</v>
      </c>
      <c r="M17" s="257">
        <f t="shared" si="10"/>
        <v>6.9676700111482717</v>
      </c>
      <c r="N17" s="258">
        <f t="shared" ca="1" si="6"/>
        <v>8.6046178115588692E-2</v>
      </c>
      <c r="O17" s="259" t="str">
        <f t="shared" si="11"/>
        <v>Internal Walls and Partitions</v>
      </c>
      <c r="P17" s="260"/>
      <c r="Q17" s="172">
        <v>600000</v>
      </c>
      <c r="R17" s="256">
        <f t="shared" si="12"/>
        <v>75</v>
      </c>
      <c r="S17" s="257">
        <f t="shared" si="13"/>
        <v>6.9676700111482717</v>
      </c>
      <c r="T17" s="258">
        <f t="shared" ca="1" si="7"/>
        <v>8.6046178115588692E-2</v>
      </c>
      <c r="U17" s="172">
        <v>600000</v>
      </c>
      <c r="V17" s="256">
        <f t="shared" si="14"/>
        <v>75</v>
      </c>
      <c r="W17" s="257">
        <f t="shared" si="15"/>
        <v>6.9676700111482717</v>
      </c>
      <c r="X17" s="258">
        <f t="shared" ca="1" si="8"/>
        <v>8.6046178115588692E-2</v>
      </c>
    </row>
    <row r="18" spans="1:24" ht="12.75" customHeight="1" x14ac:dyDescent="0.25">
      <c r="A18" s="1290" t="s">
        <v>52</v>
      </c>
      <c r="B18" s="1290"/>
      <c r="C18" s="172">
        <v>20000</v>
      </c>
      <c r="D18" s="256">
        <f t="shared" si="0"/>
        <v>2</v>
      </c>
      <c r="E18" s="257">
        <f t="shared" si="1"/>
        <v>0.18580453363062058</v>
      </c>
      <c r="F18" s="258">
        <f t="shared" ca="1" si="2"/>
        <v>2.6286390221462838E-3</v>
      </c>
      <c r="G18" s="172">
        <v>20000</v>
      </c>
      <c r="H18" s="256">
        <f t="shared" si="3"/>
        <v>2</v>
      </c>
      <c r="I18" s="257">
        <f t="shared" si="4"/>
        <v>0.18580453363062058</v>
      </c>
      <c r="J18" s="258">
        <f t="shared" ca="1" si="5"/>
        <v>3.5641094181591373E-3</v>
      </c>
      <c r="K18" s="172">
        <v>750000</v>
      </c>
      <c r="L18" s="256">
        <f t="shared" si="9"/>
        <v>93.75</v>
      </c>
      <c r="M18" s="257">
        <f t="shared" si="10"/>
        <v>8.7095875139353396</v>
      </c>
      <c r="N18" s="258">
        <f t="shared" ca="1" si="6"/>
        <v>0.10755772264448588</v>
      </c>
      <c r="O18" s="259" t="str">
        <f t="shared" si="11"/>
        <v>Internal Doors</v>
      </c>
      <c r="P18" s="260"/>
      <c r="Q18" s="172">
        <v>750000</v>
      </c>
      <c r="R18" s="256">
        <f t="shared" si="12"/>
        <v>93.75</v>
      </c>
      <c r="S18" s="257">
        <f t="shared" si="13"/>
        <v>8.7095875139353396</v>
      </c>
      <c r="T18" s="258">
        <f t="shared" ca="1" si="7"/>
        <v>0.10755772264448588</v>
      </c>
      <c r="U18" s="172">
        <v>750000</v>
      </c>
      <c r="V18" s="256">
        <f t="shared" si="14"/>
        <v>93.75</v>
      </c>
      <c r="W18" s="257">
        <f t="shared" si="15"/>
        <v>8.7095875139353396</v>
      </c>
      <c r="X18" s="258">
        <f t="shared" ca="1" si="8"/>
        <v>0.10755772264448588</v>
      </c>
    </row>
    <row r="19" spans="1:24" ht="12.75" customHeight="1" x14ac:dyDescent="0.25">
      <c r="A19" s="1290" t="s">
        <v>53</v>
      </c>
      <c r="B19" s="1290"/>
      <c r="C19" s="172">
        <v>8500</v>
      </c>
      <c r="D19" s="256">
        <f t="shared" si="0"/>
        <v>0.85</v>
      </c>
      <c r="E19" s="257">
        <f t="shared" si="1"/>
        <v>7.8966926793013745E-2</v>
      </c>
      <c r="F19" s="258">
        <f t="shared" ca="1" si="2"/>
        <v>1.1171715844121707E-3</v>
      </c>
      <c r="G19" s="172">
        <v>8500</v>
      </c>
      <c r="H19" s="256">
        <f t="shared" si="3"/>
        <v>0.85</v>
      </c>
      <c r="I19" s="257">
        <f t="shared" si="4"/>
        <v>7.8966926793013745E-2</v>
      </c>
      <c r="J19" s="258">
        <f t="shared" ca="1" si="5"/>
        <v>1.5147465027176333E-3</v>
      </c>
      <c r="K19" s="172">
        <v>70000</v>
      </c>
      <c r="L19" s="256">
        <f t="shared" si="9"/>
        <v>8.75</v>
      </c>
      <c r="M19" s="257">
        <f t="shared" si="10"/>
        <v>0.81289483463396506</v>
      </c>
      <c r="N19" s="258">
        <f t="shared" ca="1" si="6"/>
        <v>1.0038720780152015E-2</v>
      </c>
      <c r="O19" s="259" t="str">
        <f t="shared" si="11"/>
        <v>Wall Finishes</v>
      </c>
      <c r="P19" s="260"/>
      <c r="Q19" s="172">
        <v>70000</v>
      </c>
      <c r="R19" s="256">
        <f t="shared" si="12"/>
        <v>8.75</v>
      </c>
      <c r="S19" s="257">
        <f t="shared" si="13"/>
        <v>0.81289483463396506</v>
      </c>
      <c r="T19" s="258">
        <f t="shared" ca="1" si="7"/>
        <v>1.0038720780152015E-2</v>
      </c>
      <c r="U19" s="172">
        <v>70000</v>
      </c>
      <c r="V19" s="256">
        <f t="shared" si="14"/>
        <v>8.75</v>
      </c>
      <c r="W19" s="257">
        <f t="shared" si="15"/>
        <v>0.81289483463396506</v>
      </c>
      <c r="X19" s="258">
        <f t="shared" ca="1" si="8"/>
        <v>1.0038720780152015E-2</v>
      </c>
    </row>
    <row r="20" spans="1:24" ht="12.75" customHeight="1" x14ac:dyDescent="0.25">
      <c r="A20" s="1290" t="s">
        <v>54</v>
      </c>
      <c r="B20" s="1290"/>
      <c r="C20" s="172">
        <v>30000</v>
      </c>
      <c r="D20" s="256">
        <f t="shared" si="0"/>
        <v>3</v>
      </c>
      <c r="E20" s="257">
        <f t="shared" si="1"/>
        <v>0.27870680044593088</v>
      </c>
      <c r="F20" s="258">
        <f t="shared" ca="1" si="2"/>
        <v>3.942958533219426E-3</v>
      </c>
      <c r="G20" s="172">
        <v>30000</v>
      </c>
      <c r="H20" s="256">
        <f t="shared" si="3"/>
        <v>3</v>
      </c>
      <c r="I20" s="257">
        <f t="shared" si="4"/>
        <v>0.27870680044593088</v>
      </c>
      <c r="J20" s="258">
        <f t="shared" ca="1" si="5"/>
        <v>5.3461641272387062E-3</v>
      </c>
      <c r="K20" s="172">
        <v>50000</v>
      </c>
      <c r="L20" s="256">
        <f t="shared" si="9"/>
        <v>6.25</v>
      </c>
      <c r="M20" s="257">
        <f t="shared" si="10"/>
        <v>0.58063916759568934</v>
      </c>
      <c r="N20" s="258">
        <f t="shared" ca="1" si="6"/>
        <v>7.1705148429657252E-3</v>
      </c>
      <c r="O20" s="259" t="str">
        <f t="shared" si="11"/>
        <v>Floor Finishes</v>
      </c>
      <c r="P20" s="260"/>
      <c r="Q20" s="172">
        <v>50000</v>
      </c>
      <c r="R20" s="256">
        <f t="shared" si="12"/>
        <v>6.25</v>
      </c>
      <c r="S20" s="257">
        <f t="shared" si="13"/>
        <v>0.58063916759568934</v>
      </c>
      <c r="T20" s="258">
        <f t="shared" ca="1" si="7"/>
        <v>7.1705148429657252E-3</v>
      </c>
      <c r="U20" s="172">
        <v>50000</v>
      </c>
      <c r="V20" s="256">
        <f t="shared" si="14"/>
        <v>6.25</v>
      </c>
      <c r="W20" s="257">
        <f t="shared" si="15"/>
        <v>0.58063916759568934</v>
      </c>
      <c r="X20" s="258">
        <f t="shared" ca="1" si="8"/>
        <v>7.1705148429657252E-3</v>
      </c>
    </row>
    <row r="21" spans="1:24" ht="12.75" customHeight="1" x14ac:dyDescent="0.25">
      <c r="A21" s="1290" t="s">
        <v>55</v>
      </c>
      <c r="B21" s="1290"/>
      <c r="C21" s="172">
        <v>30000</v>
      </c>
      <c r="D21" s="256">
        <f t="shared" si="0"/>
        <v>3</v>
      </c>
      <c r="E21" s="257">
        <f t="shared" si="1"/>
        <v>0.27870680044593088</v>
      </c>
      <c r="F21" s="258">
        <f t="shared" ca="1" si="2"/>
        <v>3.942958533219426E-3</v>
      </c>
      <c r="G21" s="172">
        <v>30000</v>
      </c>
      <c r="H21" s="256">
        <f t="shared" si="3"/>
        <v>3</v>
      </c>
      <c r="I21" s="257">
        <f t="shared" si="4"/>
        <v>0.27870680044593088</v>
      </c>
      <c r="J21" s="258">
        <f t="shared" ca="1" si="5"/>
        <v>5.3461641272387062E-3</v>
      </c>
      <c r="K21" s="172">
        <v>30000</v>
      </c>
      <c r="L21" s="256">
        <f t="shared" si="9"/>
        <v>3.75</v>
      </c>
      <c r="M21" s="257">
        <f t="shared" si="10"/>
        <v>0.34838350055741363</v>
      </c>
      <c r="N21" s="258">
        <f t="shared" ca="1" si="6"/>
        <v>4.3023089057794353E-3</v>
      </c>
      <c r="O21" s="259" t="str">
        <f t="shared" si="11"/>
        <v>Ceiling Finishes</v>
      </c>
      <c r="P21" s="260"/>
      <c r="Q21" s="172">
        <v>30000</v>
      </c>
      <c r="R21" s="256">
        <f t="shared" si="12"/>
        <v>3.75</v>
      </c>
      <c r="S21" s="257">
        <f t="shared" si="13"/>
        <v>0.34838350055741363</v>
      </c>
      <c r="T21" s="258">
        <f t="shared" ca="1" si="7"/>
        <v>4.3023089057794353E-3</v>
      </c>
      <c r="U21" s="172">
        <v>30000</v>
      </c>
      <c r="V21" s="256">
        <f t="shared" si="14"/>
        <v>3.75</v>
      </c>
      <c r="W21" s="257">
        <f t="shared" si="15"/>
        <v>0.34838350055741363</v>
      </c>
      <c r="X21" s="258">
        <f t="shared" ca="1" si="8"/>
        <v>4.3023089057794353E-3</v>
      </c>
    </row>
    <row r="22" spans="1:24" ht="12.75" customHeight="1" x14ac:dyDescent="0.25">
      <c r="A22" s="1290" t="s">
        <v>56</v>
      </c>
      <c r="B22" s="1290"/>
      <c r="C22" s="172">
        <v>150000</v>
      </c>
      <c r="D22" s="256">
        <f t="shared" si="0"/>
        <v>15</v>
      </c>
      <c r="E22" s="257">
        <f t="shared" si="1"/>
        <v>1.3935340022296545</v>
      </c>
      <c r="F22" s="258">
        <f t="shared" ca="1" si="2"/>
        <v>1.9714792666097127E-2</v>
      </c>
      <c r="G22" s="172">
        <v>150000</v>
      </c>
      <c r="H22" s="256">
        <f t="shared" si="3"/>
        <v>15</v>
      </c>
      <c r="I22" s="257">
        <f t="shared" si="4"/>
        <v>1.3935340022296545</v>
      </c>
      <c r="J22" s="258">
        <f t="shared" ca="1" si="5"/>
        <v>2.6730820636193531E-2</v>
      </c>
      <c r="K22" s="172">
        <v>150000</v>
      </c>
      <c r="L22" s="256">
        <f t="shared" si="9"/>
        <v>18.75</v>
      </c>
      <c r="M22" s="257">
        <f t="shared" si="10"/>
        <v>1.7419175027870679</v>
      </c>
      <c r="N22" s="258">
        <f t="shared" ca="1" si="6"/>
        <v>2.1511544528897173E-2</v>
      </c>
      <c r="O22" s="259" t="str">
        <f t="shared" si="11"/>
        <v>Fittings</v>
      </c>
      <c r="P22" s="260"/>
      <c r="Q22" s="172">
        <v>150000</v>
      </c>
      <c r="R22" s="256">
        <f t="shared" si="12"/>
        <v>18.75</v>
      </c>
      <c r="S22" s="257">
        <f t="shared" si="13"/>
        <v>1.7419175027870679</v>
      </c>
      <c r="T22" s="258">
        <f t="shared" ca="1" si="7"/>
        <v>2.1511544528897173E-2</v>
      </c>
      <c r="U22" s="172">
        <v>150000</v>
      </c>
      <c r="V22" s="256">
        <f t="shared" si="14"/>
        <v>18.75</v>
      </c>
      <c r="W22" s="257">
        <f t="shared" si="15"/>
        <v>1.7419175027870679</v>
      </c>
      <c r="X22" s="258">
        <f t="shared" ca="1" si="8"/>
        <v>2.1511544528897173E-2</v>
      </c>
    </row>
    <row r="23" spans="1:24" ht="12.75" customHeight="1" x14ac:dyDescent="0.25">
      <c r="A23" s="1290" t="s">
        <v>79</v>
      </c>
      <c r="B23" s="1290"/>
      <c r="C23" s="172">
        <v>2000000</v>
      </c>
      <c r="D23" s="256">
        <f t="shared" si="0"/>
        <v>200</v>
      </c>
      <c r="E23" s="257">
        <f t="shared" si="1"/>
        <v>18.580453363062059</v>
      </c>
      <c r="F23" s="258">
        <f t="shared" ca="1" si="2"/>
        <v>0.26286390221462835</v>
      </c>
      <c r="G23" s="172">
        <v>1500000</v>
      </c>
      <c r="H23" s="256">
        <f t="shared" si="3"/>
        <v>150</v>
      </c>
      <c r="I23" s="257">
        <f t="shared" si="4"/>
        <v>13.935340022296543</v>
      </c>
      <c r="J23" s="258">
        <f t="shared" ca="1" si="5"/>
        <v>0.26730820636193531</v>
      </c>
      <c r="K23" s="172">
        <v>1500000</v>
      </c>
      <c r="L23" s="256">
        <f t="shared" si="9"/>
        <v>187.5</v>
      </c>
      <c r="M23" s="257">
        <f t="shared" si="10"/>
        <v>17.419175027870679</v>
      </c>
      <c r="N23" s="258">
        <f t="shared" ca="1" si="6"/>
        <v>0.21511544528897175</v>
      </c>
      <c r="O23" s="259" t="str">
        <f t="shared" si="11"/>
        <v>Mechanical Installation</v>
      </c>
      <c r="P23" s="260"/>
      <c r="Q23" s="172">
        <v>1500000</v>
      </c>
      <c r="R23" s="256">
        <f t="shared" si="12"/>
        <v>187.5</v>
      </c>
      <c r="S23" s="257">
        <f t="shared" si="13"/>
        <v>17.419175027870679</v>
      </c>
      <c r="T23" s="258">
        <f t="shared" ca="1" si="7"/>
        <v>0.21511544528897175</v>
      </c>
      <c r="U23" s="172">
        <v>1500000</v>
      </c>
      <c r="V23" s="256">
        <f t="shared" si="14"/>
        <v>187.5</v>
      </c>
      <c r="W23" s="257">
        <f t="shared" si="15"/>
        <v>17.419175027870679</v>
      </c>
      <c r="X23" s="258">
        <f t="shared" ca="1" si="8"/>
        <v>0.21511544528897175</v>
      </c>
    </row>
    <row r="24" spans="1:24" ht="12.75" customHeight="1" x14ac:dyDescent="0.25">
      <c r="A24" s="1290" t="s">
        <v>80</v>
      </c>
      <c r="B24" s="1290"/>
      <c r="C24" s="172">
        <v>1000000</v>
      </c>
      <c r="D24" s="256">
        <f t="shared" si="0"/>
        <v>100</v>
      </c>
      <c r="E24" s="257">
        <f t="shared" si="1"/>
        <v>9.2902266815310295</v>
      </c>
      <c r="F24" s="258">
        <f t="shared" ca="1" si="2"/>
        <v>0.13143195110731418</v>
      </c>
      <c r="G24" s="172">
        <v>1000000</v>
      </c>
      <c r="H24" s="256">
        <f t="shared" si="3"/>
        <v>100</v>
      </c>
      <c r="I24" s="257">
        <f t="shared" si="4"/>
        <v>9.2902266815310295</v>
      </c>
      <c r="J24" s="258">
        <f t="shared" ca="1" si="5"/>
        <v>0.17820547090795688</v>
      </c>
      <c r="K24" s="172">
        <v>1000000</v>
      </c>
      <c r="L24" s="256">
        <f t="shared" si="9"/>
        <v>125</v>
      </c>
      <c r="M24" s="257">
        <f t="shared" si="10"/>
        <v>11.612783351913787</v>
      </c>
      <c r="N24" s="258">
        <f t="shared" ca="1" si="6"/>
        <v>0.1434102968593145</v>
      </c>
      <c r="O24" s="259" t="str">
        <f t="shared" si="11"/>
        <v>Electrical Installation</v>
      </c>
      <c r="P24" s="260"/>
      <c r="Q24" s="172">
        <v>1000000</v>
      </c>
      <c r="R24" s="256">
        <f t="shared" si="12"/>
        <v>125</v>
      </c>
      <c r="S24" s="257">
        <f t="shared" si="13"/>
        <v>11.612783351913787</v>
      </c>
      <c r="T24" s="258">
        <f t="shared" ca="1" si="7"/>
        <v>0.1434102968593145</v>
      </c>
      <c r="U24" s="172">
        <v>1000000</v>
      </c>
      <c r="V24" s="256">
        <f t="shared" si="14"/>
        <v>125</v>
      </c>
      <c r="W24" s="257">
        <f t="shared" si="15"/>
        <v>11.612783351913787</v>
      </c>
      <c r="X24" s="258">
        <f t="shared" ca="1" si="8"/>
        <v>0.1434102968593145</v>
      </c>
    </row>
    <row r="25" spans="1:24" ht="12.75" customHeight="1" x14ac:dyDescent="0.25">
      <c r="A25" s="1290" t="s">
        <v>57</v>
      </c>
      <c r="B25" s="1290"/>
      <c r="C25" s="172">
        <v>500000</v>
      </c>
      <c r="D25" s="256">
        <f t="shared" si="0"/>
        <v>50</v>
      </c>
      <c r="E25" s="257">
        <f t="shared" si="1"/>
        <v>4.6451133407655147</v>
      </c>
      <c r="F25" s="258">
        <f t="shared" ca="1" si="2"/>
        <v>6.5715975553657088E-2</v>
      </c>
      <c r="G25" s="172">
        <v>200000</v>
      </c>
      <c r="H25" s="256">
        <f t="shared" si="3"/>
        <v>20</v>
      </c>
      <c r="I25" s="257">
        <f t="shared" si="4"/>
        <v>1.8580453363062059</v>
      </c>
      <c r="J25" s="258">
        <f t="shared" ca="1" si="5"/>
        <v>3.5641094181591372E-2</v>
      </c>
      <c r="K25" s="172">
        <v>200000</v>
      </c>
      <c r="L25" s="256">
        <f t="shared" si="9"/>
        <v>25</v>
      </c>
      <c r="M25" s="257">
        <f t="shared" si="10"/>
        <v>2.3225566703827574</v>
      </c>
      <c r="N25" s="258">
        <f t="shared" ca="1" si="6"/>
        <v>2.8682059371862901E-2</v>
      </c>
      <c r="O25" s="259" t="str">
        <f t="shared" si="11"/>
        <v>Lifts &amp; Escalators</v>
      </c>
      <c r="P25" s="260"/>
      <c r="Q25" s="172">
        <v>200000</v>
      </c>
      <c r="R25" s="256">
        <f t="shared" si="12"/>
        <v>25</v>
      </c>
      <c r="S25" s="257">
        <f t="shared" si="13"/>
        <v>2.3225566703827574</v>
      </c>
      <c r="T25" s="258">
        <f t="shared" ca="1" si="7"/>
        <v>2.8682059371862901E-2</v>
      </c>
      <c r="U25" s="172">
        <v>200000</v>
      </c>
      <c r="V25" s="256">
        <f t="shared" si="14"/>
        <v>25</v>
      </c>
      <c r="W25" s="257">
        <f t="shared" si="15"/>
        <v>2.3225566703827574</v>
      </c>
      <c r="X25" s="258">
        <f t="shared" ca="1" si="8"/>
        <v>2.8682059371862901E-2</v>
      </c>
    </row>
    <row r="26" spans="1:24" ht="12.75" customHeight="1" x14ac:dyDescent="0.25">
      <c r="A26" s="1290" t="s">
        <v>58</v>
      </c>
      <c r="B26" s="1290"/>
      <c r="C26" s="172">
        <v>75000</v>
      </c>
      <c r="D26" s="256">
        <f t="shared" si="0"/>
        <v>7.5</v>
      </c>
      <c r="E26" s="257">
        <f t="shared" si="1"/>
        <v>0.69676700111482726</v>
      </c>
      <c r="F26" s="258">
        <f t="shared" ca="1" si="2"/>
        <v>9.8573963330485636E-3</v>
      </c>
      <c r="G26" s="172">
        <v>58000</v>
      </c>
      <c r="H26" s="256">
        <f t="shared" si="3"/>
        <v>5.8</v>
      </c>
      <c r="I26" s="257">
        <f t="shared" si="4"/>
        <v>0.53883314752879974</v>
      </c>
      <c r="J26" s="258">
        <f t="shared" ca="1" si="5"/>
        <v>1.0335917312661499E-2</v>
      </c>
      <c r="K26" s="172">
        <v>58000</v>
      </c>
      <c r="L26" s="256">
        <f t="shared" si="9"/>
        <v>7.25</v>
      </c>
      <c r="M26" s="257">
        <f t="shared" si="10"/>
        <v>0.67354143441099967</v>
      </c>
      <c r="N26" s="258">
        <f t="shared" ca="1" si="6"/>
        <v>8.3177972178402407E-3</v>
      </c>
      <c r="O26" s="263" t="str">
        <f t="shared" si="11"/>
        <v>Builder's Work</v>
      </c>
      <c r="P26" s="264"/>
      <c r="Q26" s="172">
        <v>58000</v>
      </c>
      <c r="R26" s="256">
        <f t="shared" si="12"/>
        <v>7.25</v>
      </c>
      <c r="S26" s="257">
        <f t="shared" si="13"/>
        <v>0.67354143441099967</v>
      </c>
      <c r="T26" s="258">
        <f t="shared" ca="1" si="7"/>
        <v>8.3177972178402407E-3</v>
      </c>
      <c r="U26" s="172">
        <v>58000</v>
      </c>
      <c r="V26" s="256">
        <f t="shared" si="14"/>
        <v>7.25</v>
      </c>
      <c r="W26" s="257">
        <f t="shared" si="15"/>
        <v>0.67354143441099967</v>
      </c>
      <c r="X26" s="258">
        <f t="shared" ca="1" si="8"/>
        <v>8.3177972178402407E-3</v>
      </c>
    </row>
    <row r="27" spans="1:24" ht="12.75" customHeight="1" x14ac:dyDescent="0.25">
      <c r="A27" s="265" t="s">
        <v>61</v>
      </c>
      <c r="B27" s="265"/>
      <c r="C27" s="266">
        <f ca="1">SUBTOTAL(9,C$12:INDIRECT(CELL("address",OFFSET(C27,-1,0))))</f>
        <v>7483500</v>
      </c>
      <c r="D27" s="266">
        <f ca="1">SUBTOTAL(9,D$12:INDIRECT(CELL("address",OFFSET(D27,-1,0))))</f>
        <v>748.35</v>
      </c>
      <c r="E27" s="267">
        <f ca="1">SUBTOTAL(9,E$12:INDIRECT(CELL("address",OFFSET(E27,-1,0))))</f>
        <v>69.523411371237458</v>
      </c>
      <c r="F27" s="268">
        <f ca="1">SUBTOTAL(9,F$12:INDIRECT(CELL("address",OFFSET(F27,-1,0))))</f>
        <v>0.98357100611158566</v>
      </c>
      <c r="G27" s="269">
        <f ca="1">SUBTOTAL(9,G$12:INDIRECT(CELL("address",OFFSET(G27,-1,0))))</f>
        <v>5516500</v>
      </c>
      <c r="H27" s="269">
        <f ca="1">SUBTOTAL(9,H$12:INDIRECT(CELL("address",OFFSET(H27,-1,0))))</f>
        <v>551.65</v>
      </c>
      <c r="I27" s="270">
        <f ca="1">SUBTOTAL(9,I$12:INDIRECT(CELL("address",OFFSET(I27,-1,0))))</f>
        <v>51.249535488665927</v>
      </c>
      <c r="J27" s="271">
        <f ca="1">SUBTOTAL(9,J$12:INDIRECT(CELL("address",OFFSET(J27,-1,0))))</f>
        <v>0.98307048026374411</v>
      </c>
      <c r="K27" s="269">
        <f ca="1">SUBTOTAL(9,K$12:INDIRECT(CELL("address",OFFSET(K27,-1,0))))</f>
        <v>6878000</v>
      </c>
      <c r="L27" s="269">
        <f ca="1">SUBTOTAL(9,L$12:INDIRECT(CELL("address",OFFSET(L27,-1,0))))</f>
        <v>859.75</v>
      </c>
      <c r="M27" s="270">
        <f ca="1">SUBTOTAL(9,M$12:INDIRECT(CELL("address",OFFSET(M27,-1,0))))</f>
        <v>79.872723894463007</v>
      </c>
      <c r="N27" s="271">
        <f ca="1">SUBTOTAL(9,N$12:INDIRECT(CELL("address",OFFSET(N27,-1,0))))</f>
        <v>0.98637602179836503</v>
      </c>
      <c r="O27" s="272" t="str">
        <f t="shared" si="11"/>
        <v>Sub-Total</v>
      </c>
      <c r="P27" s="273"/>
      <c r="Q27" s="269">
        <f ca="1">SUBTOTAL(9,Q$12:INDIRECT(CELL("address",OFFSET(Q27,-1,0))))</f>
        <v>6878000</v>
      </c>
      <c r="R27" s="269">
        <f ca="1">SUBTOTAL(9,R$12:INDIRECT(CELL("address",OFFSET(R27,-1,0))))</f>
        <v>859.75</v>
      </c>
      <c r="S27" s="270">
        <f ca="1">SUBTOTAL(9,S$12:INDIRECT(CELL("address",OFFSET(S27,-1,0))))</f>
        <v>79.872723894463007</v>
      </c>
      <c r="T27" s="271">
        <f ca="1">SUBTOTAL(9,T$12:INDIRECT(CELL("address",OFFSET(T27,-1,0))))</f>
        <v>0.98637602179836503</v>
      </c>
      <c r="U27" s="269">
        <f ca="1">SUBTOTAL(9,U$12:INDIRECT(CELL("address",OFFSET(U27,-1,0))))</f>
        <v>6878000</v>
      </c>
      <c r="V27" s="269">
        <f ca="1">SUBTOTAL(9,V$12:INDIRECT(CELL("address",OFFSET(V27,-1,0))))</f>
        <v>859.75</v>
      </c>
      <c r="W27" s="270">
        <f ca="1">SUBTOTAL(9,W$12:INDIRECT(CELL("address",OFFSET(W27,-1,0))))</f>
        <v>79.872723894463007</v>
      </c>
      <c r="X27" s="271">
        <f ca="1">SUBTOTAL(9,X$12:INDIRECT(CELL("address",OFFSET(X27,-1,0))))</f>
        <v>0.98637602179836503</v>
      </c>
    </row>
    <row r="28" spans="1:24" ht="12.75" customHeight="1" x14ac:dyDescent="0.25">
      <c r="A28" s="1301" t="s">
        <v>62</v>
      </c>
      <c r="B28" s="1301"/>
      <c r="C28" s="292">
        <v>100000</v>
      </c>
      <c r="D28" s="274">
        <f>IF(ISERROR(C28/C$9),"",IF(A28="","",IF(C$9="","",C28/C$9)))</f>
        <v>10</v>
      </c>
      <c r="E28" s="275">
        <f>IF(ISERROR(C28/C$9),"",IF(A28="","",IF(C$9="","",C28/(C$9*10.764))))</f>
        <v>0.92902266815310297</v>
      </c>
      <c r="F28" s="276">
        <f ca="1">IF($A28="","",IF(ISERROR(C28/C$30),"",(C28/C$30)))</f>
        <v>1.3143195110731419E-2</v>
      </c>
      <c r="G28" s="292">
        <v>75000</v>
      </c>
      <c r="H28" s="274">
        <f>IF(ISERROR(G28/G$9),"",IF(A28="","",IF(G$9="","",G28/G$9)))</f>
        <v>7.5</v>
      </c>
      <c r="I28" s="275">
        <f>IF(ISERROR(G28/G$9),"",IF(A28="","",IF(G$9="","",G28/(G$9*10.764))))</f>
        <v>0.69676700111482726</v>
      </c>
      <c r="J28" s="276">
        <f ca="1">IF($A28="","",IF(ISERROR(G28/G$30),"",(G28/G$30)))</f>
        <v>1.3365410318096765E-2</v>
      </c>
      <c r="K28" s="292">
        <v>75000</v>
      </c>
      <c r="L28" s="274">
        <f>IF(ISERROR(K28/K$9),"",IF(E28="","",IF(K$9="","",K28/K$9)))</f>
        <v>9.375</v>
      </c>
      <c r="M28" s="275">
        <f>IF(ISERROR(K28/K$9),"",IF(E28="","",IF(K$9="","",K28/(K$9*10.764))))</f>
        <v>0.87095875139353396</v>
      </c>
      <c r="N28" s="276">
        <f ca="1">IF($A28="","",IF(ISERROR(K28/K$30),"",(K28/K$30)))</f>
        <v>1.0755772264448587E-2</v>
      </c>
      <c r="O28" s="259" t="str">
        <f t="shared" si="11"/>
        <v>Preliminaries &amp; Fees</v>
      </c>
      <c r="P28" s="277"/>
      <c r="Q28" s="292">
        <v>75000</v>
      </c>
      <c r="R28" s="274">
        <f>IF(ISERROR(Q28/Q$9),"",IF(I28="","",IF(Q$9="","",Q28/Q$9)))</f>
        <v>9.375</v>
      </c>
      <c r="S28" s="275">
        <f>IF(ISERROR(Q28/Q$9),"",IF(I28="","",IF(Q$9="","",Q28/(Q$9*10.764))))</f>
        <v>0.87095875139353396</v>
      </c>
      <c r="T28" s="276">
        <f ca="1">IF($A28="","",IF(ISERROR(Q28/Q$30),"",(Q28/Q$30)))</f>
        <v>1.0755772264448587E-2</v>
      </c>
      <c r="U28" s="292">
        <v>75000</v>
      </c>
      <c r="V28" s="274">
        <f>IF(ISERROR(U28/U$9),"",IF(M28="","",IF(U$9="","",U28/U$9)))</f>
        <v>9.375</v>
      </c>
      <c r="W28" s="275">
        <f>IF(ISERROR(U28/U$9),"",IF(M28="","",IF(U$9="","",U28/(U$9*10.764))))</f>
        <v>0.87095875139353396</v>
      </c>
      <c r="X28" s="276">
        <f ca="1">IF($A28="","",IF(ISERROR(U28/U$30),"",(U28/U$30)))</f>
        <v>1.0755772264448587E-2</v>
      </c>
    </row>
    <row r="29" spans="1:24" ht="12.75" customHeight="1" x14ac:dyDescent="0.25">
      <c r="A29" s="1301" t="s">
        <v>78</v>
      </c>
      <c r="B29" s="1301"/>
      <c r="C29" s="292">
        <v>25000</v>
      </c>
      <c r="D29" s="274">
        <f>IF(ISERROR(C29/C$9),"",IF(A29="","",IF(C$9="","",C29/C$9)))</f>
        <v>2.5</v>
      </c>
      <c r="E29" s="275">
        <f>IF(ISERROR(C29/C$9),"",IF(A29="","",IF(C$9="","",C29/(C$9*10.764))))</f>
        <v>0.23225566703827574</v>
      </c>
      <c r="F29" s="276">
        <f ca="1">IF($A29="","",IF(ISERROR(C29/C$30),"",(C29/C$30)))</f>
        <v>3.2857987776828547E-3</v>
      </c>
      <c r="G29" s="292">
        <v>20000</v>
      </c>
      <c r="H29" s="274">
        <f>IF(ISERROR(G29/G$9),"",IF(A29="","",IF(G$9="","",G29/G$9)))</f>
        <v>2</v>
      </c>
      <c r="I29" s="275">
        <f>IF(ISERROR(G29/G$9),"",IF(A29="","",IF(G$9="","",G29/(G$9*10.764))))</f>
        <v>0.18580453363062058</v>
      </c>
      <c r="J29" s="276">
        <f ca="1">IF($A29="","",IF(ISERROR(G29/G$30),"",(G29/G$30)))</f>
        <v>3.5641094181591373E-3</v>
      </c>
      <c r="K29" s="292">
        <v>20000</v>
      </c>
      <c r="L29" s="274">
        <f>IF(ISERROR(K29/K$9),"",IF(E29="","",IF(K$9="","",K29/K$9)))</f>
        <v>2.5</v>
      </c>
      <c r="M29" s="275">
        <f>IF(ISERROR(K29/K$9),"",IF(E29="","",IF(K$9="","",K29/(K$9*10.764))))</f>
        <v>0.23225566703827574</v>
      </c>
      <c r="N29" s="276">
        <f ca="1">IF($A29="","",IF(ISERROR(K29/K$30),"",(K29/K$30)))</f>
        <v>2.8682059371862899E-3</v>
      </c>
      <c r="O29" s="261" t="str">
        <f t="shared" si="11"/>
        <v>Contingencies</v>
      </c>
      <c r="P29" s="278"/>
      <c r="Q29" s="292">
        <v>20000</v>
      </c>
      <c r="R29" s="274">
        <f>IF(ISERROR(Q29/Q$9),"",IF(I29="","",IF(Q$9="","",Q29/Q$9)))</f>
        <v>2.5</v>
      </c>
      <c r="S29" s="275">
        <f>IF(ISERROR(Q29/Q$9),"",IF(I29="","",IF(Q$9="","",Q29/(Q$9*10.764))))</f>
        <v>0.23225566703827574</v>
      </c>
      <c r="T29" s="276">
        <f ca="1">IF($A29="","",IF(ISERROR(Q29/Q$30),"",(Q29/Q$30)))</f>
        <v>2.8682059371862899E-3</v>
      </c>
      <c r="U29" s="292">
        <v>20000</v>
      </c>
      <c r="V29" s="274">
        <f>IF(ISERROR(U29/U$9),"",IF(M29="","",IF(U$9="","",U29/U$9)))</f>
        <v>2.5</v>
      </c>
      <c r="W29" s="275">
        <f>IF(ISERROR(U29/U$9),"",IF(M29="","",IF(U$9="","",U29/(U$9*10.764))))</f>
        <v>0.23225566703827574</v>
      </c>
      <c r="X29" s="276">
        <f ca="1">IF($A29="","",IF(ISERROR(U29/U$30),"",(U29/U$30)))</f>
        <v>2.8682059371862899E-3</v>
      </c>
    </row>
    <row r="30" spans="1:24" ht="12.75" customHeight="1" x14ac:dyDescent="0.25">
      <c r="A30" s="1302" t="s">
        <v>29</v>
      </c>
      <c r="B30" s="1302"/>
      <c r="C30" s="279">
        <f ca="1">SUBTOTAL(9,C$12:INDIRECT(CELL("address",OFFSET(C30,-1,0))))</f>
        <v>7608500</v>
      </c>
      <c r="D30" s="279">
        <f ca="1">SUBTOTAL(9,D$12:INDIRECT(CELL("address",OFFSET(D30,-1,0))))</f>
        <v>760.85</v>
      </c>
      <c r="E30" s="280">
        <f ca="1">SUBTOTAL(9,E$12:INDIRECT(CELL("address",OFFSET(E30,-1,0))))</f>
        <v>70.684689706428841</v>
      </c>
      <c r="F30" s="281">
        <f ca="1">SUBTOTAL(9,F$12:INDIRECT(CELL("address",OFFSET(F30,-1,0))))</f>
        <v>0.99999999999999989</v>
      </c>
      <c r="G30" s="282">
        <f ca="1">SUBTOTAL(9,G$12:INDIRECT(CELL("address",OFFSET(G30,-1,0))))</f>
        <v>5611500</v>
      </c>
      <c r="H30" s="282">
        <f ca="1">SUBTOTAL(9,H$12:INDIRECT(CELL("address",OFFSET(H30,-1,0))))</f>
        <v>561.15</v>
      </c>
      <c r="I30" s="283">
        <f ca="1">SUBTOTAL(9,I$12:INDIRECT(CELL("address",OFFSET(I30,-1,0))))</f>
        <v>52.132107023411379</v>
      </c>
      <c r="J30" s="284">
        <f ca="1">SUBTOTAL(9,J$12:INDIRECT(CELL("address",OFFSET(J30,-1,0))))</f>
        <v>1</v>
      </c>
      <c r="K30" s="282">
        <f ca="1">SUBTOTAL(9,K$12:INDIRECT(CELL("address",OFFSET(K30,-1,0))))</f>
        <v>6973000</v>
      </c>
      <c r="L30" s="282">
        <f ca="1">SUBTOTAL(9,L$12:INDIRECT(CELL("address",OFFSET(L30,-1,0))))</f>
        <v>871.625</v>
      </c>
      <c r="M30" s="283">
        <f ca="1">SUBTOTAL(9,M$12:INDIRECT(CELL("address",OFFSET(M30,-1,0))))</f>
        <v>80.975938312894812</v>
      </c>
      <c r="N30" s="285">
        <f ca="1">SUBTOTAL(9,N$12:INDIRECT(CELL("address",OFFSET(N30,-1,0))))</f>
        <v>0.99999999999999989</v>
      </c>
      <c r="O30" s="285" t="str">
        <f>A30</f>
        <v>Total</v>
      </c>
      <c r="P30" s="286"/>
      <c r="Q30" s="287">
        <f ca="1">SUBTOTAL(9,Q$12:INDIRECT(CELL("address",OFFSET(Q30,-1,0))))</f>
        <v>6973000</v>
      </c>
      <c r="R30" s="282">
        <f ca="1">SUBTOTAL(9,R$12:INDIRECT(CELL("address",OFFSET(R30,-1,0))))</f>
        <v>871.625</v>
      </c>
      <c r="S30" s="283">
        <f ca="1">SUBTOTAL(9,S$12:INDIRECT(CELL("address",OFFSET(S30,-1,0))))</f>
        <v>80.975938312894812</v>
      </c>
      <c r="T30" s="284">
        <f ca="1">SUBTOTAL(9,T$12:INDIRECT(CELL("address",OFFSET(T30,-1,0))))</f>
        <v>0.99999999999999989</v>
      </c>
      <c r="U30" s="282">
        <f ca="1">SUBTOTAL(9,U$12:INDIRECT(CELL("address",OFFSET(U30,-1,0))))</f>
        <v>6973000</v>
      </c>
      <c r="V30" s="282">
        <f ca="1">SUBTOTAL(9,V$12:INDIRECT(CELL("address",OFFSET(V30,-1,0))))</f>
        <v>871.625</v>
      </c>
      <c r="W30" s="283">
        <f ca="1">SUBTOTAL(9,W$12:INDIRECT(CELL("address",OFFSET(W30,-1,0))))</f>
        <v>80.975938312894812</v>
      </c>
      <c r="X30" s="284">
        <f ca="1">SUBTOTAL(9,X$12:INDIRECT(CELL("address",OFFSET(X30,-1,0))))</f>
        <v>0.99999999999999989</v>
      </c>
    </row>
    <row r="31" spans="1:24" ht="12.75" customHeight="1" x14ac:dyDescent="0.25">
      <c r="A31" s="288" t="s">
        <v>89</v>
      </c>
      <c r="G31" s="289"/>
      <c r="H31" s="289"/>
      <c r="I31" s="289"/>
      <c r="J31" s="289"/>
    </row>
    <row r="32" spans="1:24" ht="12.75" customHeight="1" x14ac:dyDescent="0.25">
      <c r="A32" s="1297" t="s">
        <v>116</v>
      </c>
      <c r="B32" s="1298"/>
      <c r="C32" s="1298"/>
      <c r="D32" s="1298"/>
      <c r="E32" s="1298"/>
      <c r="F32" s="1298"/>
      <c r="G32" s="1298"/>
      <c r="H32" s="1299" t="s">
        <v>118</v>
      </c>
      <c r="I32" s="1300"/>
      <c r="J32" s="1300"/>
      <c r="K32" s="1300"/>
      <c r="L32" s="1300"/>
      <c r="M32" s="1300"/>
      <c r="N32" s="1300"/>
    </row>
    <row r="33" spans="1:14" ht="11.5" x14ac:dyDescent="0.25">
      <c r="A33" s="1299" t="s">
        <v>117</v>
      </c>
      <c r="B33" s="1300"/>
      <c r="C33" s="1300"/>
      <c r="D33" s="1300"/>
      <c r="E33" s="1300"/>
      <c r="F33" s="1300"/>
      <c r="G33" s="1300"/>
      <c r="H33" s="1300"/>
      <c r="I33" s="1300"/>
      <c r="J33" s="1300"/>
      <c r="K33" s="1300"/>
      <c r="L33" s="1300"/>
      <c r="M33" s="1300"/>
      <c r="N33" s="1300"/>
    </row>
    <row r="34" spans="1:14" ht="12.75" customHeight="1" x14ac:dyDescent="0.25">
      <c r="A34" s="1300"/>
      <c r="B34" s="1300"/>
      <c r="C34" s="1300"/>
      <c r="D34" s="1300"/>
      <c r="E34" s="1300"/>
      <c r="F34" s="1300"/>
      <c r="G34" s="1300"/>
      <c r="H34" s="290" t="s">
        <v>119</v>
      </c>
      <c r="I34" s="289"/>
      <c r="J34" s="289"/>
    </row>
    <row r="35" spans="1:14" ht="12.75" customHeight="1" x14ac:dyDescent="0.25">
      <c r="B35" s="291"/>
      <c r="G35" s="289"/>
      <c r="H35" s="289"/>
      <c r="I35" s="289"/>
      <c r="J35" s="289"/>
    </row>
  </sheetData>
  <sheetProtection sheet="1" objects="1" scenarios="1" selectLockedCells="1"/>
  <customSheetViews>
    <customSheetView guid="{2B0692CF-4177-422C-A620-ABA6158FDE4D}" showPageBreaks="1" showGridLines="0" printArea="1" state="hidden" view="pageBreakPreview">
      <selection activeCell="T23" sqref="T23"/>
      <rowBreaks count="1" manualBreakCount="1">
        <brk id="8" max="26" man="1"/>
      </rowBreaks>
      <colBreaks count="2" manualBreakCount="2">
        <brk id="2" max="34" man="1"/>
        <brk id="14" max="34" man="1"/>
      </colBreaks>
      <pageMargins left="0.62992125984251968" right="0.55118110236220474" top="1.1023622047244095" bottom="0.70866141732283472" header="0" footer="0.15748031496062992"/>
      <pageSetup paperSize="9" orientation="landscape" cellComments="asDisplayed" r:id="rId1"/>
      <headerFooter alignWithMargins="0">
        <oddHeader xml:space="preserve">&amp;L&amp;"Arial,Bold"&amp;7Davis Langdon, An AECOM Company&amp;R&amp;7page &amp;P of &amp;N-1 </oddHeader>
        <oddFooter>&amp;L&amp;"Arial,Bold"&amp;7Program, Cost, Consultancy&amp;"Arial,Regular"
www.davislangdon.com
www.aecom.com</oddFooter>
      </headerFooter>
    </customSheetView>
    <customSheetView guid="{6C33A4D3-AF33-443C-A522-C1A990C51A36}" showPageBreaks="1" showGridLines="0" printArea="1" state="hidden" view="pageBreakPreview">
      <selection activeCell="T23" sqref="T23"/>
      <rowBreaks count="1" manualBreakCount="1">
        <brk id="8" max="26" man="1"/>
      </rowBreaks>
      <colBreaks count="2" manualBreakCount="2">
        <brk id="2" max="34" man="1"/>
        <brk id="14" max="34" man="1"/>
      </colBreaks>
      <pageMargins left="0.62992125984251968" right="0.55118110236220474" top="1.1023622047244095" bottom="0.70866141732283472" header="0" footer="0.15748031496062992"/>
      <pageSetup paperSize="9" orientation="landscape" cellComments="asDisplayed" r:id="rId2"/>
      <headerFooter alignWithMargins="0">
        <oddHeader xml:space="preserve">&amp;L&amp;"Arial,Bold"&amp;7Davis Langdon, An AECOM Company&amp;R&amp;7page &amp;P of &amp;N-1 </oddHeader>
        <oddFooter>&amp;L&amp;"Arial,Bold"&amp;7Program, Cost, Consultancy&amp;"Arial,Regular"
www.davislangdon.com
www.aecom.com</oddFooter>
      </headerFooter>
    </customSheetView>
  </customSheetViews>
  <mergeCells count="25">
    <mergeCell ref="A18:B18"/>
    <mergeCell ref="A19:B19"/>
    <mergeCell ref="A24:B24"/>
    <mergeCell ref="A32:G32"/>
    <mergeCell ref="H32:N33"/>
    <mergeCell ref="A33:G34"/>
    <mergeCell ref="A28:B28"/>
    <mergeCell ref="A29:B29"/>
    <mergeCell ref="A30:B30"/>
    <mergeCell ref="A26:B26"/>
    <mergeCell ref="A20:B20"/>
    <mergeCell ref="A21:B21"/>
    <mergeCell ref="A22:B22"/>
    <mergeCell ref="A23:B23"/>
    <mergeCell ref="A25:B25"/>
    <mergeCell ref="U7:X7"/>
    <mergeCell ref="C7:F7"/>
    <mergeCell ref="G7:J7"/>
    <mergeCell ref="K7:N7"/>
    <mergeCell ref="Q7:T7"/>
    <mergeCell ref="A13:B13"/>
    <mergeCell ref="A14:B14"/>
    <mergeCell ref="A15:B15"/>
    <mergeCell ref="A16:B16"/>
    <mergeCell ref="A17:B17"/>
  </mergeCells>
  <phoneticPr fontId="4" type="noConversion"/>
  <conditionalFormatting sqref="C12:X26 A13:A26 A12:B12">
    <cfRule type="cellIs" dxfId="13" priority="1" stopIfTrue="1" operator="equal">
      <formula>IF(MOD(ROW(),2),A12,A12&amp;"x")</formula>
    </cfRule>
  </conditionalFormatting>
  <pageMargins left="0.62992125984251968" right="0.55118110236220474" top="1.1023622047244095" bottom="0.70866141732283472" header="0" footer="0.15748031496062992"/>
  <pageSetup paperSize="9" orientation="landscape" cellComments="asDisplayed" r:id="rId3"/>
  <headerFooter alignWithMargins="0">
    <oddHeader xml:space="preserve">&amp;L&amp;"Arial,Bold"&amp;7Davis Langdon, An AECOM Company&amp;R&amp;7page &amp;P of &amp;N-1 </oddHeader>
    <oddFooter>&amp;L&amp;"Arial,Bold"&amp;7Program, Cost, Consultancy&amp;"Arial,Regular"
www.davislangdon.com
www.aecom.com</oddFooter>
  </headerFooter>
  <rowBreaks count="1" manualBreakCount="1">
    <brk id="8" max="26" man="1"/>
  </rowBreaks>
  <colBreaks count="2" manualBreakCount="2">
    <brk id="2" max="34" man="1"/>
    <brk id="14" max="34" man="1"/>
  </col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tabColor indexed="22"/>
  </sheetPr>
  <dimension ref="A1:Q35"/>
  <sheetViews>
    <sheetView zoomScaleNormal="100" zoomScaleSheetLayoutView="100" workbookViewId="0">
      <selection activeCell="T23" sqref="T23"/>
    </sheetView>
  </sheetViews>
  <sheetFormatPr defaultColWidth="9" defaultRowHeight="12.75" customHeight="1" x14ac:dyDescent="0.25"/>
  <cols>
    <col min="1" max="1" width="5.58203125" style="31" customWidth="1"/>
    <col min="2" max="2" width="5.58203125" style="30" customWidth="1"/>
    <col min="3" max="3" width="3" style="30" customWidth="1"/>
    <col min="4" max="4" width="9" style="30"/>
    <col min="5" max="5" width="16.5" style="30" customWidth="1"/>
    <col min="6" max="10" width="14.58203125" style="30" customWidth="1"/>
    <col min="11" max="16384" width="9" style="30"/>
  </cols>
  <sheetData>
    <row r="1" spans="1:17" ht="19" x14ac:dyDescent="0.4">
      <c r="A1" s="84" t="s">
        <v>10</v>
      </c>
      <c r="B1" s="54" t="s">
        <v>4</v>
      </c>
    </row>
    <row r="2" spans="1:17" ht="12.75" customHeight="1" x14ac:dyDescent="0.25">
      <c r="A2" s="58"/>
      <c r="B2" s="32"/>
      <c r="Q2" s="28"/>
    </row>
    <row r="3" spans="1:17" ht="12.75" customHeight="1" x14ac:dyDescent="0.25">
      <c r="A3" s="59" t="s">
        <v>121</v>
      </c>
      <c r="B3" s="32" t="s">
        <v>63</v>
      </c>
    </row>
    <row r="4" spans="1:17" ht="12.75" customHeight="1" x14ac:dyDescent="0.25">
      <c r="A4" s="39"/>
      <c r="B4" s="34"/>
    </row>
    <row r="5" spans="1:17" ht="26.25" customHeight="1" x14ac:dyDescent="0.25">
      <c r="B5" s="1303" t="s">
        <v>76</v>
      </c>
      <c r="C5" s="1304"/>
      <c r="D5" s="1304"/>
      <c r="E5" s="1305"/>
      <c r="F5" s="183" t="e">
        <f>#REF!</f>
        <v>#REF!</v>
      </c>
      <c r="G5" s="184" t="s">
        <v>0</v>
      </c>
      <c r="H5" s="184" t="s">
        <v>1</v>
      </c>
      <c r="I5" s="184" t="s">
        <v>2</v>
      </c>
      <c r="J5" s="184" t="s">
        <v>3</v>
      </c>
    </row>
    <row r="6" spans="1:17" ht="12.75" customHeight="1" x14ac:dyDescent="0.25">
      <c r="B6" s="179" t="s">
        <v>64</v>
      </c>
      <c r="C6" s="44"/>
      <c r="D6" s="35"/>
      <c r="E6" s="60"/>
      <c r="F6" s="61">
        <v>2</v>
      </c>
      <c r="G6" s="61"/>
      <c r="H6" s="61"/>
      <c r="I6" s="61"/>
      <c r="J6" s="61"/>
    </row>
    <row r="7" spans="1:17" ht="12.75" customHeight="1" x14ac:dyDescent="0.3">
      <c r="B7" s="179"/>
      <c r="C7" s="44"/>
      <c r="D7" s="35"/>
      <c r="E7" s="60"/>
      <c r="F7" s="62"/>
      <c r="G7" s="61"/>
      <c r="H7" s="61"/>
      <c r="I7" s="61"/>
      <c r="J7" s="61"/>
    </row>
    <row r="8" spans="1:17" ht="12.75" customHeight="1" x14ac:dyDescent="0.3">
      <c r="B8" s="180" t="s">
        <v>75</v>
      </c>
      <c r="C8" s="44"/>
      <c r="D8" s="35"/>
      <c r="E8" s="60"/>
      <c r="F8" s="63">
        <v>0.08</v>
      </c>
      <c r="G8" s="64"/>
      <c r="H8" s="64"/>
      <c r="I8" s="64"/>
      <c r="J8" s="64"/>
    </row>
    <row r="9" spans="1:17" ht="12.75" customHeight="1" x14ac:dyDescent="0.3">
      <c r="B9" s="180"/>
      <c r="C9" s="29"/>
      <c r="D9" s="34"/>
      <c r="E9" s="65"/>
      <c r="F9" s="66"/>
      <c r="G9" s="67"/>
      <c r="H9" s="67"/>
      <c r="I9" s="67"/>
      <c r="J9" s="67"/>
    </row>
    <row r="10" spans="1:17" ht="12.75" customHeight="1" x14ac:dyDescent="0.3">
      <c r="B10" s="180" t="s">
        <v>65</v>
      </c>
      <c r="C10" s="56"/>
      <c r="D10" s="35"/>
      <c r="E10" s="60"/>
      <c r="F10" s="62">
        <v>15</v>
      </c>
      <c r="G10" s="61"/>
      <c r="H10" s="61"/>
      <c r="I10" s="61"/>
      <c r="J10" s="61"/>
    </row>
    <row r="11" spans="1:17" ht="12.75" customHeight="1" x14ac:dyDescent="0.3">
      <c r="B11" s="181"/>
      <c r="C11" s="29"/>
      <c r="D11" s="34"/>
      <c r="E11" s="65"/>
      <c r="F11" s="66"/>
      <c r="G11" s="67"/>
      <c r="H11" s="67"/>
      <c r="I11" s="67"/>
      <c r="J11" s="67"/>
    </row>
    <row r="12" spans="1:17" ht="12.75" customHeight="1" x14ac:dyDescent="0.3">
      <c r="B12" s="180" t="s">
        <v>66</v>
      </c>
      <c r="C12" s="57"/>
      <c r="D12" s="35"/>
      <c r="E12" s="60"/>
      <c r="F12" s="68">
        <v>300000</v>
      </c>
      <c r="G12" s="69"/>
      <c r="H12" s="69"/>
      <c r="I12" s="69"/>
      <c r="J12" s="69"/>
    </row>
    <row r="13" spans="1:17" ht="12.75" customHeight="1" x14ac:dyDescent="0.3">
      <c r="B13" s="180"/>
      <c r="C13" s="29"/>
      <c r="D13" s="28"/>
      <c r="E13" s="70"/>
      <c r="F13" s="66"/>
      <c r="G13" s="67"/>
      <c r="H13" s="67"/>
      <c r="I13" s="67"/>
      <c r="J13" s="67"/>
    </row>
    <row r="14" spans="1:17" ht="12.75" customHeight="1" x14ac:dyDescent="0.3">
      <c r="B14" s="180" t="s">
        <v>67</v>
      </c>
      <c r="C14" s="29"/>
      <c r="D14" s="35"/>
      <c r="E14" s="60"/>
      <c r="F14" s="68">
        <v>210000</v>
      </c>
      <c r="G14" s="69"/>
      <c r="H14" s="69"/>
      <c r="I14" s="69"/>
      <c r="J14" s="69"/>
    </row>
    <row r="15" spans="1:17" ht="12.75" customHeight="1" x14ac:dyDescent="0.3">
      <c r="B15" s="180"/>
      <c r="C15" s="29"/>
      <c r="D15" s="28"/>
      <c r="E15" s="70"/>
      <c r="F15" s="66"/>
      <c r="G15" s="67"/>
      <c r="H15" s="67"/>
      <c r="I15" s="67"/>
      <c r="J15" s="67"/>
    </row>
    <row r="16" spans="1:17" ht="12.75" customHeight="1" x14ac:dyDescent="0.3">
      <c r="B16" s="180" t="s">
        <v>68</v>
      </c>
      <c r="C16" s="29"/>
      <c r="D16" s="28"/>
      <c r="E16" s="70"/>
      <c r="F16" s="63">
        <f>F14/F12</f>
        <v>0.7</v>
      </c>
      <c r="G16" s="64"/>
      <c r="H16" s="64"/>
      <c r="I16" s="64"/>
      <c r="J16" s="64"/>
    </row>
    <row r="17" spans="2:10" ht="12.75" customHeight="1" x14ac:dyDescent="0.3">
      <c r="B17" s="180"/>
      <c r="C17" s="29"/>
      <c r="D17" s="34"/>
      <c r="E17" s="65"/>
      <c r="F17" s="66"/>
      <c r="G17" s="67"/>
      <c r="H17" s="67"/>
      <c r="I17" s="67"/>
      <c r="J17" s="67"/>
    </row>
    <row r="18" spans="2:10" ht="12.75" customHeight="1" x14ac:dyDescent="0.3">
      <c r="B18" s="180" t="s">
        <v>69</v>
      </c>
      <c r="C18" s="29"/>
      <c r="D18" s="56"/>
      <c r="E18" s="71"/>
      <c r="F18" s="63">
        <v>0.82</v>
      </c>
      <c r="G18" s="64"/>
      <c r="H18" s="64"/>
      <c r="I18" s="64"/>
      <c r="J18" s="64"/>
    </row>
    <row r="19" spans="2:10" ht="12.75" customHeight="1" x14ac:dyDescent="0.3">
      <c r="B19" s="180"/>
      <c r="C19" s="29"/>
      <c r="D19" s="34"/>
      <c r="E19" s="65"/>
      <c r="F19" s="66"/>
      <c r="G19" s="67"/>
      <c r="H19" s="67"/>
      <c r="I19" s="67"/>
      <c r="J19" s="67"/>
    </row>
    <row r="20" spans="2:10" ht="12.75" customHeight="1" x14ac:dyDescent="0.3">
      <c r="B20" s="180" t="s">
        <v>91</v>
      </c>
      <c r="C20" s="28"/>
      <c r="D20" s="35"/>
      <c r="E20" s="60"/>
      <c r="F20" s="72">
        <v>0.4</v>
      </c>
      <c r="G20" s="73"/>
      <c r="H20" s="73"/>
      <c r="I20" s="73"/>
      <c r="J20" s="61"/>
    </row>
    <row r="21" spans="2:10" ht="12.75" customHeight="1" x14ac:dyDescent="0.3">
      <c r="B21" s="180"/>
      <c r="C21" s="28"/>
      <c r="D21" s="35"/>
      <c r="E21" s="60"/>
      <c r="F21" s="62"/>
      <c r="G21" s="61"/>
      <c r="H21" s="61"/>
      <c r="I21" s="61"/>
      <c r="J21" s="67"/>
    </row>
    <row r="22" spans="2:10" ht="12" x14ac:dyDescent="0.3">
      <c r="B22" s="180" t="s">
        <v>70</v>
      </c>
      <c r="C22" s="28"/>
      <c r="D22" s="35"/>
      <c r="E22" s="60"/>
      <c r="F22" s="74">
        <v>95</v>
      </c>
      <c r="G22" s="75"/>
      <c r="H22" s="75"/>
      <c r="I22" s="75"/>
      <c r="J22" s="61"/>
    </row>
    <row r="23" spans="2:10" ht="12.75" customHeight="1" x14ac:dyDescent="0.3">
      <c r="B23" s="180"/>
      <c r="C23" s="28"/>
      <c r="D23" s="35"/>
      <c r="E23" s="60"/>
      <c r="F23" s="74"/>
      <c r="G23" s="75"/>
      <c r="H23" s="75"/>
      <c r="I23" s="75"/>
      <c r="J23" s="61"/>
    </row>
    <row r="24" spans="2:10" ht="12.75" customHeight="1" x14ac:dyDescent="0.3">
      <c r="B24" s="180" t="s">
        <v>92</v>
      </c>
      <c r="C24" s="28"/>
      <c r="D24" s="35"/>
      <c r="E24" s="60"/>
      <c r="F24" s="74" t="s">
        <v>93</v>
      </c>
      <c r="G24" s="75"/>
      <c r="H24" s="75"/>
      <c r="I24" s="75"/>
      <c r="J24" s="61"/>
    </row>
    <row r="25" spans="2:10" ht="12.75" customHeight="1" x14ac:dyDescent="0.3">
      <c r="B25" s="180"/>
      <c r="C25" s="28"/>
      <c r="D25" s="35"/>
      <c r="E25" s="60"/>
      <c r="F25" s="74"/>
      <c r="G25" s="75"/>
      <c r="H25" s="75"/>
      <c r="I25" s="75"/>
      <c r="J25" s="61"/>
    </row>
    <row r="26" spans="2:10" ht="12.75" customHeight="1" x14ac:dyDescent="0.3">
      <c r="B26" s="180" t="s">
        <v>71</v>
      </c>
      <c r="C26" s="28"/>
      <c r="D26" s="28"/>
      <c r="E26" s="70"/>
      <c r="F26" s="68">
        <v>1400</v>
      </c>
      <c r="G26" s="69"/>
      <c r="H26" s="69"/>
      <c r="I26" s="69"/>
      <c r="J26" s="69"/>
    </row>
    <row r="27" spans="2:10" ht="12.75" customHeight="1" x14ac:dyDescent="0.3">
      <c r="B27" s="180" t="s">
        <v>72</v>
      </c>
      <c r="C27" s="28"/>
      <c r="D27" s="28"/>
      <c r="E27" s="70"/>
      <c r="F27" s="66"/>
      <c r="G27" s="67"/>
      <c r="H27" s="67"/>
      <c r="I27" s="69"/>
      <c r="J27" s="67"/>
    </row>
    <row r="28" spans="2:10" ht="12.75" customHeight="1" x14ac:dyDescent="0.3">
      <c r="B28" s="180"/>
      <c r="C28" s="28"/>
      <c r="D28" s="28"/>
      <c r="E28" s="70"/>
      <c r="F28" s="66"/>
      <c r="G28" s="67"/>
      <c r="H28" s="67"/>
      <c r="I28" s="67"/>
      <c r="J28" s="67"/>
    </row>
    <row r="29" spans="2:10" ht="12.75" customHeight="1" x14ac:dyDescent="0.3">
      <c r="B29" s="180" t="s">
        <v>73</v>
      </c>
      <c r="C29" s="28"/>
      <c r="D29" s="28"/>
      <c r="E29" s="70"/>
      <c r="F29" s="74">
        <v>700</v>
      </c>
      <c r="G29" s="75"/>
      <c r="H29" s="75"/>
      <c r="I29" s="61"/>
      <c r="J29" s="61"/>
    </row>
    <row r="30" spans="2:10" ht="12.75" customHeight="1" x14ac:dyDescent="0.3">
      <c r="B30" s="182" t="s">
        <v>74</v>
      </c>
      <c r="C30" s="76"/>
      <c r="D30" s="76"/>
      <c r="E30" s="77"/>
      <c r="F30" s="78"/>
      <c r="G30" s="79"/>
      <c r="H30" s="79"/>
      <c r="I30" s="79"/>
      <c r="J30" s="79"/>
    </row>
    <row r="31" spans="2:10" ht="12.75" customHeight="1" x14ac:dyDescent="0.25">
      <c r="B31" s="80" t="s">
        <v>89</v>
      </c>
    </row>
    <row r="32" spans="2:10" ht="12.75" customHeight="1" x14ac:dyDescent="0.25">
      <c r="B32" s="81" t="s">
        <v>77</v>
      </c>
      <c r="C32" s="35"/>
      <c r="D32" s="34"/>
      <c r="E32" s="34"/>
    </row>
    <row r="33" spans="1:10" ht="12.75" customHeight="1" x14ac:dyDescent="0.25">
      <c r="A33" s="42"/>
      <c r="B33" s="45"/>
      <c r="C33" s="35"/>
      <c r="D33" s="35"/>
      <c r="E33" s="35"/>
      <c r="F33" s="28"/>
      <c r="G33" s="28"/>
      <c r="H33" s="28"/>
      <c r="I33" s="28"/>
      <c r="J33" s="28"/>
    </row>
    <row r="34" spans="1:10" ht="12.75" customHeight="1" x14ac:dyDescent="0.25">
      <c r="A34" s="42"/>
      <c r="B34" s="45"/>
      <c r="C34" s="35"/>
      <c r="D34" s="35"/>
      <c r="E34" s="35"/>
      <c r="F34" s="28"/>
      <c r="G34" s="28"/>
      <c r="H34" s="28"/>
      <c r="I34" s="28"/>
      <c r="J34" s="28"/>
    </row>
    <row r="35" spans="1:10" ht="12.75" customHeight="1" x14ac:dyDescent="0.25">
      <c r="A35" s="82"/>
      <c r="B35" s="83"/>
      <c r="C35" s="83"/>
      <c r="D35" s="83"/>
      <c r="E35" s="83"/>
      <c r="F35" s="83"/>
      <c r="G35" s="83"/>
      <c r="H35" s="83"/>
      <c r="I35" s="83"/>
      <c r="J35" s="83"/>
    </row>
  </sheetData>
  <customSheetViews>
    <customSheetView guid="{2B0692CF-4177-422C-A620-ABA6158FDE4D}" state="hidden">
      <selection activeCell="T23" sqref="T23"/>
      <pageMargins left="0.62992125984251968" right="0.55118110236220474" top="1.1023622047244095" bottom="0.70866141732283472" header="0" footer="0.15748031496062992"/>
      <pageSetup paperSize="9" orientation="landscape" cellComments="asDisplayed" r:id="rId1"/>
      <headerFooter alignWithMargins="0">
        <oddHeader xml:space="preserve">&amp;L&amp;"Arial,Bold"&amp;7Davis Langdon, An AECOM Company&amp;R&amp;7page &amp;P of &amp;N-1 </oddHeader>
        <oddFooter>&amp;L&amp;"Arial,Bold"&amp;7Program, Cost, Consultancy&amp;"Arial,Regular"
www.davislangdon.com
www.aecom.com</oddFooter>
      </headerFooter>
    </customSheetView>
    <customSheetView guid="{6C33A4D3-AF33-443C-A522-C1A990C51A36}" state="hidden">
      <selection activeCell="T23" sqref="T23"/>
      <pageMargins left="0.62992125984251968" right="0.55118110236220474" top="1.1023622047244095" bottom="0.70866141732283472" header="0" footer="0.15748031496062992"/>
      <pageSetup paperSize="9" orientation="landscape" cellComments="asDisplayed" r:id="rId2"/>
      <headerFooter alignWithMargins="0">
        <oddHeader xml:space="preserve">&amp;L&amp;"Arial,Bold"&amp;7Davis Langdon, An AECOM Company&amp;R&amp;7page &amp;P of &amp;N-1 </oddHeader>
        <oddFooter>&amp;L&amp;"Arial,Bold"&amp;7Program, Cost, Consultancy&amp;"Arial,Regular"
www.davislangdon.com
www.aecom.com</oddFooter>
      </headerFooter>
    </customSheetView>
  </customSheetViews>
  <mergeCells count="1">
    <mergeCell ref="B5:E5"/>
  </mergeCells>
  <phoneticPr fontId="4" type="noConversion"/>
  <pageMargins left="0.62992125984251968" right="0.55118110236220474" top="1.1023622047244095" bottom="0.70866141732283472" header="0" footer="0.15748031496062992"/>
  <pageSetup paperSize="9" orientation="landscape" cellComments="asDisplayed" r:id="rId3"/>
  <headerFooter alignWithMargins="0">
    <oddHeader xml:space="preserve">&amp;L&amp;"Arial,Bold"&amp;7Davis Langdon, An AECOM Company&amp;R&amp;7page &amp;P of &amp;N-1 </oddHeader>
    <oddFooter>&amp;L&amp;"Arial,Bold"&amp;7Program, Cost, Consultancy&amp;"Arial,Regular"
www.davislangdon.com
www.aecom.com</oddFooter>
  </headerFooter>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indexed="22"/>
  </sheetPr>
  <dimension ref="A1:G37"/>
  <sheetViews>
    <sheetView view="pageBreakPreview" zoomScaleNormal="100" zoomScaleSheetLayoutView="100" workbookViewId="0">
      <selection activeCell="T23" sqref="T23"/>
    </sheetView>
  </sheetViews>
  <sheetFormatPr defaultColWidth="9" defaultRowHeight="12.75" customHeight="1" x14ac:dyDescent="0.25"/>
  <cols>
    <col min="1" max="1" width="4.6640625" style="31" customWidth="1"/>
    <col min="2" max="2" width="3.6640625" style="30" customWidth="1"/>
    <col min="3" max="3" width="83.5" style="30" customWidth="1"/>
    <col min="4" max="5" width="11.6640625" style="30" customWidth="1"/>
    <col min="6" max="16384" width="9" style="30"/>
  </cols>
  <sheetData>
    <row r="1" spans="1:4" ht="19" x14ac:dyDescent="0.4">
      <c r="A1" s="37" t="s">
        <v>12</v>
      </c>
      <c r="B1" s="38" t="e">
        <f>#REF!</f>
        <v>#REF!</v>
      </c>
    </row>
    <row r="2" spans="1:4" ht="12.75" customHeight="1" x14ac:dyDescent="0.25">
      <c r="B2" s="32"/>
      <c r="D2" s="33"/>
    </row>
    <row r="3" spans="1:4" ht="12.75" customHeight="1" x14ac:dyDescent="0.25">
      <c r="A3" s="52" t="s">
        <v>126</v>
      </c>
      <c r="B3" s="32" t="s">
        <v>84</v>
      </c>
    </row>
    <row r="4" spans="1:4" ht="12.75" customHeight="1" x14ac:dyDescent="0.25">
      <c r="C4" s="34"/>
    </row>
    <row r="5" spans="1:4" ht="12.75" customHeight="1" x14ac:dyDescent="0.25">
      <c r="B5" s="30" t="s">
        <v>99</v>
      </c>
      <c r="C5" s="35"/>
    </row>
    <row r="6" spans="1:4" ht="12.75" customHeight="1" x14ac:dyDescent="0.25">
      <c r="B6" s="34" t="s">
        <v>83</v>
      </c>
      <c r="C6" s="34"/>
    </row>
    <row r="7" spans="1:4" ht="12.75" customHeight="1" x14ac:dyDescent="0.25">
      <c r="B7" s="44"/>
      <c r="C7" s="171" t="s">
        <v>147</v>
      </c>
    </row>
    <row r="8" spans="1:4" ht="12.75" customHeight="1" x14ac:dyDescent="0.25">
      <c r="C8" s="159"/>
    </row>
    <row r="9" spans="1:4" ht="12.75" customHeight="1" x14ac:dyDescent="0.25">
      <c r="B9" s="36"/>
      <c r="C9" s="185"/>
    </row>
    <row r="10" spans="1:4" ht="12.75" customHeight="1" x14ac:dyDescent="0.25">
      <c r="B10" s="36"/>
      <c r="C10" s="185"/>
    </row>
    <row r="11" spans="1:4" ht="12.75" customHeight="1" x14ac:dyDescent="0.25">
      <c r="B11" s="36"/>
      <c r="C11" s="185"/>
    </row>
    <row r="12" spans="1:4" ht="12.75" customHeight="1" x14ac:dyDescent="0.25">
      <c r="B12" s="36"/>
      <c r="C12" s="185"/>
    </row>
    <row r="13" spans="1:4" ht="12.75" customHeight="1" x14ac:dyDescent="0.25">
      <c r="B13" s="36"/>
      <c r="C13" s="185"/>
    </row>
    <row r="14" spans="1:4" ht="12.75" customHeight="1" x14ac:dyDescent="0.25">
      <c r="B14" s="36"/>
      <c r="C14" s="185"/>
    </row>
    <row r="15" spans="1:4" ht="12.75" customHeight="1" x14ac:dyDescent="0.25">
      <c r="B15" s="36"/>
      <c r="C15" s="185"/>
    </row>
    <row r="16" spans="1:4" ht="12.75" customHeight="1" x14ac:dyDescent="0.25">
      <c r="B16" s="36"/>
      <c r="C16" s="185"/>
    </row>
    <row r="17" spans="1:5" ht="12.75" customHeight="1" x14ac:dyDescent="0.25">
      <c r="B17" s="36"/>
      <c r="C17" s="185"/>
    </row>
    <row r="18" spans="1:5" ht="12.75" customHeight="1" x14ac:dyDescent="0.25">
      <c r="B18" s="36"/>
      <c r="C18" s="185"/>
    </row>
    <row r="19" spans="1:5" ht="12.75" customHeight="1" x14ac:dyDescent="0.25">
      <c r="B19" s="36"/>
      <c r="C19" s="185"/>
    </row>
    <row r="20" spans="1:5" ht="12.75" customHeight="1" x14ac:dyDescent="0.25">
      <c r="A20" s="52" t="s">
        <v>127</v>
      </c>
      <c r="B20" s="90" t="s">
        <v>85</v>
      </c>
      <c r="C20" s="35"/>
    </row>
    <row r="21" spans="1:5" ht="12.75" customHeight="1" x14ac:dyDescent="0.25">
      <c r="B21" s="36"/>
      <c r="C21" s="35"/>
    </row>
    <row r="22" spans="1:5" ht="12.75" customHeight="1" x14ac:dyDescent="0.25">
      <c r="B22" s="34" t="s">
        <v>86</v>
      </c>
      <c r="C22" s="35"/>
    </row>
    <row r="23" spans="1:5" ht="11.5" x14ac:dyDescent="0.25">
      <c r="B23" s="34" t="s">
        <v>87</v>
      </c>
      <c r="C23" s="35"/>
    </row>
    <row r="24" spans="1:5" ht="12.75" customHeight="1" x14ac:dyDescent="0.25">
      <c r="B24" s="36"/>
      <c r="C24" s="35"/>
    </row>
    <row r="25" spans="1:5" ht="12.75" customHeight="1" x14ac:dyDescent="0.25">
      <c r="B25" s="186"/>
      <c r="C25" s="144"/>
      <c r="D25" s="1306" t="s">
        <v>94</v>
      </c>
      <c r="E25" s="1307"/>
    </row>
    <row r="26" spans="1:5" ht="12.75" customHeight="1" x14ac:dyDescent="0.25">
      <c r="B26" s="188"/>
      <c r="C26" s="189"/>
      <c r="D26" s="190" t="s">
        <v>44</v>
      </c>
      <c r="E26" s="191" t="s">
        <v>45</v>
      </c>
    </row>
    <row r="27" spans="1:5" ht="12.75" customHeight="1" x14ac:dyDescent="0.25">
      <c r="B27" s="192" t="s">
        <v>128</v>
      </c>
      <c r="C27" s="193" t="s">
        <v>148</v>
      </c>
      <c r="D27" s="192"/>
      <c r="E27" s="143"/>
    </row>
    <row r="28" spans="1:5" ht="12.75" customHeight="1" x14ac:dyDescent="0.25">
      <c r="B28" s="192" t="s">
        <v>129</v>
      </c>
      <c r="C28" s="194"/>
      <c r="D28" s="192"/>
      <c r="E28" s="143"/>
    </row>
    <row r="29" spans="1:5" ht="12.75" customHeight="1" x14ac:dyDescent="0.25">
      <c r="B29" s="192" t="s">
        <v>130</v>
      </c>
      <c r="C29" s="194"/>
      <c r="D29" s="192"/>
      <c r="E29" s="143"/>
    </row>
    <row r="30" spans="1:5" ht="12.75" customHeight="1" x14ac:dyDescent="0.25">
      <c r="B30" s="192" t="s">
        <v>131</v>
      </c>
      <c r="C30" s="194"/>
      <c r="D30" s="192"/>
      <c r="E30" s="143"/>
    </row>
    <row r="31" spans="1:5" ht="12.75" customHeight="1" x14ac:dyDescent="0.25">
      <c r="B31" s="192" t="s">
        <v>132</v>
      </c>
      <c r="C31" s="194"/>
      <c r="D31" s="192"/>
      <c r="E31" s="143"/>
    </row>
    <row r="32" spans="1:5" ht="12.75" customHeight="1" x14ac:dyDescent="0.25">
      <c r="B32" s="195"/>
      <c r="C32" s="196"/>
      <c r="D32" s="98"/>
      <c r="E32" s="79"/>
    </row>
    <row r="33" spans="1:7" ht="12.75" customHeight="1" x14ac:dyDescent="0.25">
      <c r="A33" s="27"/>
      <c r="B33" s="97"/>
      <c r="C33" s="187" t="s">
        <v>149</v>
      </c>
      <c r="D33" s="98"/>
      <c r="E33" s="79"/>
      <c r="F33" s="28"/>
      <c r="G33" s="28"/>
    </row>
    <row r="34" spans="1:7" s="28" customFormat="1" ht="12.75" customHeight="1" x14ac:dyDescent="0.25">
      <c r="A34" s="27"/>
      <c r="B34" s="36"/>
      <c r="C34" s="35"/>
    </row>
    <row r="35" spans="1:7" s="28" customFormat="1" ht="12.75" customHeight="1" x14ac:dyDescent="0.25">
      <c r="A35" s="27"/>
      <c r="B35" s="46"/>
    </row>
    <row r="36" spans="1:7" s="28" customFormat="1" ht="12.75" customHeight="1" x14ac:dyDescent="0.25">
      <c r="A36" s="27"/>
    </row>
    <row r="37" spans="1:7" s="28" customFormat="1" ht="12.75" customHeight="1" x14ac:dyDescent="0.25">
      <c r="A37" s="27"/>
    </row>
  </sheetData>
  <customSheetViews>
    <customSheetView guid="{2B0692CF-4177-422C-A620-ABA6158FDE4D}" showPageBreaks="1" printArea="1" state="hidden" view="pageBreakPreview">
      <selection activeCell="T23" sqref="T23"/>
      <pageMargins left="0.62992125984251968" right="0.55118110236220474" top="1.1023622047244095" bottom="0.70866141732283472" header="0" footer="0.15748031496062992"/>
      <pageSetup paperSize="9" orientation="landscape" cellComments="asDisplayed" r:id="rId1"/>
      <headerFooter alignWithMargins="0">
        <oddHeader xml:space="preserve">&amp;L&amp;"Arial,Bold"&amp;7Davis Langdon, An AECOM Company&amp;R&amp;7page &amp;P of &amp;N-1&amp;9 </oddHeader>
        <oddFooter>&amp;L&amp;"Arial,Bold"&amp;7Program, Cost, Consultancy&amp;"Arial,Regular"
www.davislangdon.com
www.aecom.com</oddFooter>
      </headerFooter>
    </customSheetView>
    <customSheetView guid="{6C33A4D3-AF33-443C-A522-C1A990C51A36}" showPageBreaks="1" printArea="1" state="hidden" view="pageBreakPreview">
      <selection activeCell="T23" sqref="T23"/>
      <pageMargins left="0.62992125984251968" right="0.55118110236220474" top="1.1023622047244095" bottom="0.70866141732283472" header="0" footer="0.15748031496062992"/>
      <pageSetup paperSize="9" orientation="landscape" cellComments="asDisplayed" r:id="rId2"/>
      <headerFooter alignWithMargins="0">
        <oddHeader xml:space="preserve">&amp;L&amp;"Arial,Bold"&amp;7Davis Langdon, An AECOM Company&amp;R&amp;7page &amp;P of &amp;N-1&amp;9 </oddHeader>
        <oddFooter>&amp;L&amp;"Arial,Bold"&amp;7Program, Cost, Consultancy&amp;"Arial,Regular"
www.davislangdon.com
www.aecom.com</oddFooter>
      </headerFooter>
    </customSheetView>
  </customSheetViews>
  <mergeCells count="1">
    <mergeCell ref="D25:E25"/>
  </mergeCells>
  <phoneticPr fontId="4" type="noConversion"/>
  <pageMargins left="0.62992125984251968" right="0.55118110236220474" top="1.1023622047244095" bottom="0.70866141732283472" header="0" footer="0.15748031496062992"/>
  <pageSetup paperSize="9" orientation="landscape" cellComments="asDisplayed" r:id="rId3"/>
  <headerFooter alignWithMargins="0">
    <oddHeader xml:space="preserve">&amp;L&amp;"Arial,Bold"&amp;7Davis Langdon, An AECOM Company&amp;R&amp;7page &amp;P of &amp;N-1&amp;9 </oddHeader>
    <oddFooter>&amp;L&amp;"Arial,Bold"&amp;7Program, Cost, Consultancy&amp;"Arial,Regular"
www.davislangdon.com
www.aecom.com</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5">
    <tabColor indexed="22"/>
  </sheetPr>
  <dimension ref="A1:F36"/>
  <sheetViews>
    <sheetView view="pageBreakPreview" zoomScaleNormal="100" zoomScaleSheetLayoutView="100" workbookViewId="0">
      <selection activeCell="T23" sqref="T23"/>
    </sheetView>
  </sheetViews>
  <sheetFormatPr defaultColWidth="9" defaultRowHeight="12.75" customHeight="1" x14ac:dyDescent="0.25"/>
  <cols>
    <col min="1" max="1" width="7" style="30" customWidth="1"/>
    <col min="2" max="2" width="14.83203125" style="30" customWidth="1"/>
    <col min="3" max="3" width="47.1640625" style="30" customWidth="1"/>
    <col min="4" max="4" width="52" style="30" customWidth="1"/>
    <col min="5" max="16384" width="9" style="30"/>
  </cols>
  <sheetData>
    <row r="1" spans="1:4" ht="19" x14ac:dyDescent="0.4">
      <c r="A1" s="37" t="s">
        <v>14</v>
      </c>
      <c r="B1" s="38" t="e">
        <f>#REF!</f>
        <v>#REF!</v>
      </c>
    </row>
    <row r="2" spans="1:4" ht="12.75" customHeight="1" x14ac:dyDescent="0.25">
      <c r="A2" s="32"/>
      <c r="D2" s="33"/>
    </row>
    <row r="3" spans="1:4" ht="12.75" customHeight="1" x14ac:dyDescent="0.25">
      <c r="A3" s="99"/>
      <c r="B3" s="99"/>
      <c r="C3" s="197"/>
      <c r="D3" s="87"/>
    </row>
    <row r="4" spans="1:4" ht="12.75" customHeight="1" x14ac:dyDescent="0.25">
      <c r="A4" s="100" t="s">
        <v>43</v>
      </c>
      <c r="B4" s="100" t="s">
        <v>88</v>
      </c>
      <c r="C4" s="198" t="s">
        <v>136</v>
      </c>
      <c r="D4" s="141" t="s">
        <v>137</v>
      </c>
    </row>
    <row r="5" spans="1:4" ht="12.75" customHeight="1" x14ac:dyDescent="0.25">
      <c r="A5" s="88"/>
      <c r="B5" s="85"/>
      <c r="C5" s="199"/>
      <c r="D5" s="89"/>
    </row>
    <row r="6" spans="1:4" ht="12.75" customHeight="1" x14ac:dyDescent="0.25">
      <c r="A6" s="91"/>
      <c r="B6" s="92"/>
      <c r="C6" s="200"/>
      <c r="D6" s="203"/>
    </row>
    <row r="7" spans="1:4" ht="12.75" customHeight="1" x14ac:dyDescent="0.25">
      <c r="A7" s="93"/>
      <c r="B7" s="94"/>
      <c r="C7" s="201"/>
      <c r="D7" s="204"/>
    </row>
    <row r="8" spans="1:4" ht="12.75" customHeight="1" x14ac:dyDescent="0.25">
      <c r="A8" s="93"/>
      <c r="B8" s="94"/>
      <c r="C8" s="201"/>
      <c r="D8" s="204"/>
    </row>
    <row r="9" spans="1:4" ht="12.75" customHeight="1" x14ac:dyDescent="0.25">
      <c r="A9" s="93"/>
      <c r="B9" s="94"/>
      <c r="C9" s="201"/>
      <c r="D9" s="204"/>
    </row>
    <row r="10" spans="1:4" ht="12.75" customHeight="1" x14ac:dyDescent="0.25">
      <c r="A10" s="95"/>
      <c r="B10" s="94"/>
      <c r="C10" s="201"/>
      <c r="D10" s="204"/>
    </row>
    <row r="11" spans="1:4" ht="12.75" customHeight="1" x14ac:dyDescent="0.25">
      <c r="A11" s="96"/>
      <c r="B11" s="94"/>
      <c r="C11" s="201"/>
      <c r="D11" s="204"/>
    </row>
    <row r="12" spans="1:4" ht="12.75" customHeight="1" x14ac:dyDescent="0.25">
      <c r="A12" s="96"/>
      <c r="B12" s="94"/>
      <c r="C12" s="201"/>
      <c r="D12" s="204"/>
    </row>
    <row r="13" spans="1:4" ht="12.75" customHeight="1" x14ac:dyDescent="0.25">
      <c r="A13" s="96"/>
      <c r="B13" s="94"/>
      <c r="C13" s="201"/>
      <c r="D13" s="204"/>
    </row>
    <row r="14" spans="1:4" ht="12.75" customHeight="1" x14ac:dyDescent="0.25">
      <c r="A14" s="96"/>
      <c r="B14" s="94"/>
      <c r="C14" s="201"/>
      <c r="D14" s="204"/>
    </row>
    <row r="15" spans="1:4" ht="12.75" customHeight="1" x14ac:dyDescent="0.25">
      <c r="A15" s="96"/>
      <c r="B15" s="94"/>
      <c r="C15" s="201"/>
      <c r="D15" s="204"/>
    </row>
    <row r="16" spans="1:4" ht="12.75" customHeight="1" x14ac:dyDescent="0.25">
      <c r="A16" s="96"/>
      <c r="B16" s="94"/>
      <c r="C16" s="201"/>
      <c r="D16" s="204"/>
    </row>
    <row r="17" spans="1:4" ht="12.75" customHeight="1" x14ac:dyDescent="0.25">
      <c r="A17" s="96"/>
      <c r="B17" s="94"/>
      <c r="C17" s="201"/>
      <c r="D17" s="204"/>
    </row>
    <row r="18" spans="1:4" ht="12.75" customHeight="1" x14ac:dyDescent="0.25">
      <c r="A18" s="96"/>
      <c r="B18" s="94"/>
      <c r="C18" s="201"/>
      <c r="D18" s="204"/>
    </row>
    <row r="19" spans="1:4" ht="12.75" customHeight="1" x14ac:dyDescent="0.25">
      <c r="A19" s="96"/>
      <c r="B19" s="94"/>
      <c r="C19" s="201"/>
      <c r="D19" s="204"/>
    </row>
    <row r="20" spans="1:4" ht="12.75" customHeight="1" x14ac:dyDescent="0.25">
      <c r="A20" s="96"/>
      <c r="B20" s="94"/>
      <c r="C20" s="201"/>
      <c r="D20" s="204"/>
    </row>
    <row r="21" spans="1:4" ht="12.75" customHeight="1" x14ac:dyDescent="0.25">
      <c r="A21" s="96"/>
      <c r="B21" s="94"/>
      <c r="C21" s="201"/>
      <c r="D21" s="204"/>
    </row>
    <row r="22" spans="1:4" ht="11.5" x14ac:dyDescent="0.25">
      <c r="A22" s="96"/>
      <c r="B22" s="94"/>
      <c r="C22" s="201"/>
      <c r="D22" s="204"/>
    </row>
    <row r="23" spans="1:4" ht="12.75" customHeight="1" x14ac:dyDescent="0.25">
      <c r="A23" s="96"/>
      <c r="B23" s="94"/>
      <c r="C23" s="201"/>
      <c r="D23" s="204"/>
    </row>
    <row r="24" spans="1:4" ht="12.75" customHeight="1" x14ac:dyDescent="0.25">
      <c r="A24" s="96"/>
      <c r="B24" s="94"/>
      <c r="C24" s="201"/>
      <c r="D24" s="204"/>
    </row>
    <row r="25" spans="1:4" ht="12.75" customHeight="1" x14ac:dyDescent="0.25">
      <c r="A25" s="96"/>
      <c r="B25" s="94"/>
      <c r="C25" s="201"/>
      <c r="D25" s="204"/>
    </row>
    <row r="26" spans="1:4" ht="12.75" customHeight="1" x14ac:dyDescent="0.25">
      <c r="A26" s="96"/>
      <c r="B26" s="94"/>
      <c r="C26" s="201"/>
      <c r="D26" s="204"/>
    </row>
    <row r="27" spans="1:4" ht="12.75" customHeight="1" x14ac:dyDescent="0.25">
      <c r="A27" s="96"/>
      <c r="B27" s="94"/>
      <c r="C27" s="201"/>
      <c r="D27" s="204"/>
    </row>
    <row r="28" spans="1:4" ht="12.75" customHeight="1" x14ac:dyDescent="0.25">
      <c r="A28" s="96"/>
      <c r="B28" s="94"/>
      <c r="C28" s="201"/>
      <c r="D28" s="204"/>
    </row>
    <row r="29" spans="1:4" ht="12.75" customHeight="1" x14ac:dyDescent="0.25">
      <c r="A29" s="96"/>
      <c r="B29" s="94"/>
      <c r="C29" s="201"/>
      <c r="D29" s="204"/>
    </row>
    <row r="30" spans="1:4" ht="12.75" customHeight="1" x14ac:dyDescent="0.25">
      <c r="A30" s="96"/>
      <c r="B30" s="94"/>
      <c r="C30" s="201"/>
      <c r="D30" s="204"/>
    </row>
    <row r="31" spans="1:4" ht="12.75" customHeight="1" x14ac:dyDescent="0.25">
      <c r="A31" s="96"/>
      <c r="B31" s="94"/>
      <c r="C31" s="201"/>
      <c r="D31" s="204"/>
    </row>
    <row r="32" spans="1:4" ht="12.75" customHeight="1" x14ac:dyDescent="0.25">
      <c r="A32" s="96"/>
      <c r="B32" s="94"/>
      <c r="C32" s="201"/>
      <c r="D32" s="204"/>
    </row>
    <row r="33" spans="1:6" ht="12.75" customHeight="1" x14ac:dyDescent="0.25">
      <c r="A33" s="96"/>
      <c r="B33" s="94"/>
      <c r="C33" s="201"/>
      <c r="D33" s="204"/>
      <c r="E33" s="28"/>
      <c r="F33" s="28"/>
    </row>
    <row r="34" spans="1:6" ht="12.75" customHeight="1" x14ac:dyDescent="0.25">
      <c r="A34" s="97"/>
      <c r="B34" s="98"/>
      <c r="C34" s="202"/>
      <c r="D34" s="205"/>
      <c r="E34" s="28"/>
      <c r="F34" s="28"/>
    </row>
    <row r="35" spans="1:6" s="28" customFormat="1" ht="12.75" customHeight="1" x14ac:dyDescent="0.25">
      <c r="A35" s="46"/>
    </row>
    <row r="36" spans="1:6" s="28" customFormat="1" ht="12.75" customHeight="1" x14ac:dyDescent="0.25"/>
  </sheetData>
  <customSheetViews>
    <customSheetView guid="{2B0692CF-4177-422C-A620-ABA6158FDE4D}" showPageBreaks="1" printArea="1" state="hidden" view="pageBreakPreview">
      <selection activeCell="T23" sqref="T23"/>
      <pageMargins left="0.62992125984251968" right="0.55118110236220474" top="1.1023622047244095" bottom="0.70866141732283472" header="0" footer="0.15748031496062992"/>
      <pageSetup paperSize="9" orientation="landscape" cellComments="asDisplayed" r:id="rId1"/>
      <headerFooter alignWithMargins="0">
        <oddHeader xml:space="preserve">&amp;L&amp;"Arial,Bold"&amp;7Davis Langdon, An AECOM Company&amp;R&amp;7page &amp;P of &amp;N-1 </oddHeader>
        <oddFooter>&amp;L&amp;"Arial,Bold"&amp;7Program, Cost, Consultancy&amp;"Arial,Regular"
www.davislangdon.com
www.aecom.com</oddFooter>
      </headerFooter>
    </customSheetView>
    <customSheetView guid="{6C33A4D3-AF33-443C-A522-C1A990C51A36}" showPageBreaks="1" printArea="1" state="hidden" view="pageBreakPreview">
      <selection activeCell="T23" sqref="T23"/>
      <pageMargins left="0.62992125984251968" right="0.55118110236220474" top="1.1023622047244095" bottom="0.70866141732283472" header="0" footer="0.15748031496062992"/>
      <pageSetup paperSize="9" orientation="landscape" cellComments="asDisplayed" r:id="rId2"/>
      <headerFooter alignWithMargins="0">
        <oddHeader xml:space="preserve">&amp;L&amp;"Arial,Bold"&amp;7Davis Langdon, An AECOM Company&amp;R&amp;7page &amp;P of &amp;N-1 </oddHeader>
        <oddFooter>&amp;L&amp;"Arial,Bold"&amp;7Program, Cost, Consultancy&amp;"Arial,Regular"
www.davislangdon.com
www.aecom.com</oddFooter>
      </headerFooter>
    </customSheetView>
  </customSheetViews>
  <phoneticPr fontId="4" type="noConversion"/>
  <pageMargins left="0.62992125984251968" right="0.55118110236220474" top="1.1023622047244095" bottom="0.70866141732283472" header="0" footer="0.15748031496062992"/>
  <pageSetup paperSize="9" orientation="landscape" cellComments="asDisplayed" r:id="rId3"/>
  <headerFooter alignWithMargins="0">
    <oddHeader xml:space="preserve">&amp;L&amp;"Arial,Bold"&amp;7Davis Langdon, An AECOM Company&amp;R&amp;7page &amp;P of &amp;N-1 </oddHeader>
    <oddFooter>&amp;L&amp;"Arial,Bold"&amp;7Program, Cost, Consultancy&amp;"Arial,Regular"
www.davislangdon.com
www.aecom.com</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6">
    <tabColor indexed="22"/>
  </sheetPr>
  <dimension ref="A1:O101"/>
  <sheetViews>
    <sheetView view="pageBreakPreview" topLeftCell="A61" zoomScaleNormal="100" zoomScaleSheetLayoutView="100" workbookViewId="0">
      <selection activeCell="T23" sqref="T23"/>
    </sheetView>
  </sheetViews>
  <sheetFormatPr defaultColWidth="9" defaultRowHeight="12.75" customHeight="1" x14ac:dyDescent="0.25"/>
  <cols>
    <col min="1" max="1" width="5" style="30" customWidth="1"/>
    <col min="2" max="11" width="8.33203125" style="30" customWidth="1"/>
    <col min="12" max="12" width="8.58203125" style="30" customWidth="1"/>
    <col min="13" max="13" width="8.33203125" style="30" customWidth="1"/>
    <col min="14" max="14" width="13.33203125" style="30" customWidth="1"/>
    <col min="15" max="15" width="8.83203125" style="28" customWidth="1"/>
    <col min="16" max="16" width="8.33203125" style="30" customWidth="1"/>
    <col min="17" max="16384" width="9" style="30"/>
  </cols>
  <sheetData>
    <row r="1" spans="1:14" ht="19" x14ac:dyDescent="0.4">
      <c r="A1" s="37" t="s">
        <v>15</v>
      </c>
      <c r="B1" s="38" t="e">
        <f>#REF!</f>
        <v>#REF!</v>
      </c>
      <c r="C1" s="28"/>
      <c r="D1" s="28"/>
      <c r="E1" s="101"/>
      <c r="F1" s="28"/>
      <c r="G1" s="28"/>
      <c r="H1" s="28"/>
      <c r="I1" s="28"/>
      <c r="J1" s="28"/>
      <c r="K1" s="28"/>
      <c r="L1" s="28"/>
      <c r="M1" s="28"/>
      <c r="N1" s="28"/>
    </row>
    <row r="2" spans="1:14" ht="12.75" customHeight="1" x14ac:dyDescent="0.25">
      <c r="A2" s="28"/>
      <c r="B2" s="43"/>
      <c r="C2" s="28"/>
      <c r="D2" s="28"/>
      <c r="E2" s="28"/>
      <c r="F2" s="28"/>
      <c r="G2" s="28"/>
      <c r="H2" s="28"/>
      <c r="I2" s="86"/>
      <c r="J2" s="86"/>
      <c r="K2" s="86"/>
      <c r="L2" s="28"/>
      <c r="M2" s="28"/>
      <c r="N2" s="28"/>
    </row>
    <row r="3" spans="1:14" ht="12.75" customHeight="1" x14ac:dyDescent="0.25">
      <c r="A3" s="28"/>
      <c r="B3" s="102" t="s">
        <v>16</v>
      </c>
      <c r="C3" s="28"/>
      <c r="D3" s="28"/>
      <c r="E3" s="28"/>
      <c r="F3" s="28"/>
      <c r="G3" s="28"/>
      <c r="H3" s="28"/>
      <c r="I3" s="28"/>
      <c r="J3" s="28"/>
      <c r="K3" s="28"/>
      <c r="L3" s="28"/>
      <c r="M3" s="28"/>
      <c r="N3" s="28"/>
    </row>
    <row r="4" spans="1:14" ht="12.75" customHeight="1" x14ac:dyDescent="0.25">
      <c r="A4" s="28"/>
      <c r="B4" s="34"/>
      <c r="C4" s="34"/>
      <c r="D4" s="28"/>
      <c r="E4" s="28"/>
      <c r="F4" s="28"/>
      <c r="G4" s="28"/>
      <c r="H4" s="28"/>
      <c r="I4" s="28"/>
      <c r="J4" s="28"/>
      <c r="K4" s="28"/>
      <c r="L4" s="28"/>
      <c r="M4" s="28"/>
      <c r="N4" s="28"/>
    </row>
    <row r="5" spans="1:14" ht="12.75" customHeight="1" x14ac:dyDescent="0.25">
      <c r="A5" s="28"/>
      <c r="B5" s="35" t="s">
        <v>122</v>
      </c>
      <c r="C5" s="28"/>
      <c r="D5" s="28"/>
      <c r="E5" s="28"/>
      <c r="F5" s="28"/>
      <c r="G5" s="28"/>
      <c r="H5" s="28"/>
      <c r="I5" s="28"/>
      <c r="J5" s="28"/>
      <c r="K5" s="28"/>
      <c r="L5" s="28"/>
      <c r="M5" s="28"/>
      <c r="N5" s="28"/>
    </row>
    <row r="6" spans="1:14" ht="12.75" customHeight="1" x14ac:dyDescent="0.25">
      <c r="A6" s="28"/>
      <c r="B6" s="28"/>
      <c r="C6" s="28"/>
      <c r="D6" s="28"/>
      <c r="E6" s="28"/>
      <c r="F6" s="28"/>
      <c r="G6" s="28"/>
      <c r="H6" s="28"/>
      <c r="I6" s="28"/>
      <c r="J6" s="28"/>
      <c r="K6" s="28"/>
      <c r="L6" s="28"/>
      <c r="M6" s="28"/>
      <c r="N6" s="28"/>
    </row>
    <row r="7" spans="1:14" ht="12.75" customHeight="1" x14ac:dyDescent="0.25">
      <c r="A7" s="28"/>
      <c r="B7" s="34" t="s">
        <v>36</v>
      </c>
      <c r="C7" s="28"/>
      <c r="D7" s="28"/>
      <c r="E7" s="28"/>
      <c r="F7" s="28"/>
      <c r="G7" s="28"/>
      <c r="H7" s="28"/>
      <c r="I7" s="28"/>
      <c r="J7" s="28"/>
      <c r="K7" s="28"/>
      <c r="L7" s="28"/>
      <c r="M7" s="28"/>
      <c r="N7" s="28"/>
    </row>
    <row r="8" spans="1:14" ht="12.75" customHeight="1" x14ac:dyDescent="0.25">
      <c r="A8" s="28"/>
      <c r="B8" s="28"/>
      <c r="C8" s="28"/>
      <c r="D8" s="28"/>
      <c r="E8" s="28"/>
      <c r="F8" s="28"/>
      <c r="G8" s="28"/>
      <c r="H8" s="28"/>
      <c r="I8" s="28"/>
      <c r="J8" s="28"/>
      <c r="K8" s="28"/>
      <c r="L8" s="28"/>
      <c r="M8" s="28"/>
      <c r="N8" s="28"/>
    </row>
    <row r="9" spans="1:14" ht="12.75" customHeight="1" x14ac:dyDescent="0.25">
      <c r="A9" s="28"/>
      <c r="B9" s="35" t="s">
        <v>37</v>
      </c>
      <c r="C9" s="28"/>
      <c r="D9" s="28"/>
      <c r="E9" s="28"/>
      <c r="F9" s="28"/>
      <c r="G9" s="28"/>
      <c r="H9" s="28"/>
      <c r="I9" s="28"/>
      <c r="J9" s="28"/>
      <c r="K9" s="28"/>
      <c r="L9" s="28"/>
      <c r="M9" s="28"/>
      <c r="N9" s="28"/>
    </row>
    <row r="10" spans="1:14" ht="12.75" customHeight="1" x14ac:dyDescent="0.25">
      <c r="A10" s="28"/>
      <c r="B10" s="34"/>
      <c r="C10" s="28"/>
      <c r="D10" s="30" t="s">
        <v>17</v>
      </c>
      <c r="E10" s="30" t="s">
        <v>138</v>
      </c>
      <c r="F10" s="28"/>
      <c r="G10" s="28"/>
      <c r="H10" s="28"/>
      <c r="I10" s="28"/>
      <c r="J10" s="28"/>
      <c r="K10" s="28"/>
      <c r="L10" s="28"/>
      <c r="M10" s="28"/>
      <c r="N10" s="28"/>
    </row>
    <row r="11" spans="1:14" ht="12.75" customHeight="1" x14ac:dyDescent="0.25">
      <c r="A11" s="28"/>
      <c r="B11" s="35"/>
      <c r="C11" s="28"/>
      <c r="D11" s="30" t="s">
        <v>18</v>
      </c>
      <c r="E11" s="30" t="s">
        <v>139</v>
      </c>
      <c r="F11" s="28"/>
      <c r="G11" s="28"/>
      <c r="H11" s="28"/>
      <c r="I11" s="28"/>
      <c r="J11" s="28"/>
      <c r="K11" s="28"/>
      <c r="L11" s="28"/>
      <c r="M11" s="28"/>
      <c r="N11" s="28"/>
    </row>
    <row r="12" spans="1:14" ht="12.75" customHeight="1" x14ac:dyDescent="0.25">
      <c r="A12" s="28"/>
      <c r="B12" s="35"/>
      <c r="C12" s="28"/>
      <c r="D12" s="30" t="s">
        <v>19</v>
      </c>
      <c r="E12" s="30" t="s">
        <v>140</v>
      </c>
      <c r="F12" s="28"/>
      <c r="G12" s="28"/>
      <c r="H12" s="28"/>
      <c r="I12" s="28"/>
      <c r="J12" s="28"/>
      <c r="K12" s="28"/>
      <c r="L12" s="28"/>
      <c r="M12" s="28"/>
      <c r="N12" s="28"/>
    </row>
    <row r="13" spans="1:14" ht="12.75" customHeight="1" x14ac:dyDescent="0.25">
      <c r="A13" s="28"/>
      <c r="B13" s="28"/>
      <c r="C13" s="28"/>
      <c r="D13" s="28"/>
      <c r="E13" s="28"/>
      <c r="F13" s="28"/>
      <c r="G13" s="28"/>
      <c r="H13" s="28"/>
      <c r="I13" s="28"/>
      <c r="J13" s="28"/>
      <c r="K13" s="28"/>
      <c r="L13" s="28"/>
      <c r="M13" s="28"/>
      <c r="N13" s="28"/>
    </row>
    <row r="14" spans="1:14" ht="38.25" customHeight="1" x14ac:dyDescent="0.25">
      <c r="A14" s="28"/>
      <c r="B14" s="1308" t="s">
        <v>134</v>
      </c>
      <c r="C14" s="1308"/>
      <c r="D14" s="1308"/>
      <c r="E14" s="1308"/>
      <c r="F14" s="1308"/>
      <c r="G14" s="1308"/>
      <c r="H14" s="1308"/>
      <c r="I14" s="1308"/>
      <c r="J14" s="1308"/>
      <c r="K14" s="1308"/>
      <c r="L14" s="1308"/>
      <c r="M14" s="1308"/>
      <c r="N14" s="28"/>
    </row>
    <row r="15" spans="1:14" ht="12.75" customHeight="1" x14ac:dyDescent="0.25">
      <c r="A15" s="28"/>
      <c r="B15" s="28"/>
      <c r="C15" s="28"/>
      <c r="D15" s="28"/>
      <c r="E15" s="28"/>
      <c r="F15" s="28"/>
      <c r="G15" s="28"/>
      <c r="H15" s="28"/>
      <c r="I15" s="28"/>
      <c r="J15" s="28"/>
      <c r="K15" s="28"/>
      <c r="L15" s="28"/>
      <c r="M15" s="28"/>
      <c r="N15" s="28"/>
    </row>
    <row r="16" spans="1:14" ht="12.75" customHeight="1" x14ac:dyDescent="0.25">
      <c r="A16" s="28"/>
      <c r="B16" s="34" t="s">
        <v>135</v>
      </c>
      <c r="C16" s="28"/>
      <c r="D16" s="28"/>
      <c r="E16" s="28"/>
      <c r="F16" s="28"/>
      <c r="G16" s="28"/>
      <c r="H16" s="28"/>
      <c r="I16" s="28"/>
      <c r="J16" s="28"/>
      <c r="K16" s="28"/>
      <c r="L16" s="28"/>
      <c r="M16" s="28"/>
      <c r="N16" s="28"/>
    </row>
    <row r="17" spans="1:14" ht="12.75" customHeight="1" x14ac:dyDescent="0.25">
      <c r="A17" s="28"/>
      <c r="B17" s="28"/>
      <c r="C17" s="28"/>
      <c r="D17" s="28"/>
      <c r="E17" s="28"/>
      <c r="F17" s="28"/>
      <c r="G17" s="28"/>
      <c r="H17" s="28"/>
      <c r="I17" s="28"/>
      <c r="J17" s="28"/>
      <c r="K17" s="28"/>
      <c r="L17" s="28"/>
      <c r="M17" s="28"/>
      <c r="N17" s="28"/>
    </row>
    <row r="18" spans="1:14" ht="12.75" customHeight="1" x14ac:dyDescent="0.25">
      <c r="A18" s="28"/>
      <c r="B18" s="34" t="s">
        <v>90</v>
      </c>
      <c r="C18" s="28"/>
      <c r="D18" s="28"/>
      <c r="E18" s="28"/>
      <c r="F18" s="28"/>
      <c r="G18" s="28"/>
      <c r="H18" s="28"/>
      <c r="I18" s="28"/>
      <c r="J18" s="28"/>
      <c r="K18" s="28"/>
      <c r="L18" s="28"/>
      <c r="M18" s="28"/>
      <c r="N18" s="28"/>
    </row>
    <row r="19" spans="1:14" ht="12.75" customHeight="1" x14ac:dyDescent="0.25">
      <c r="A19" s="28"/>
      <c r="B19" s="28"/>
      <c r="C19" s="28"/>
      <c r="D19" s="28"/>
      <c r="E19" s="28"/>
      <c r="F19" s="28"/>
      <c r="G19" s="28"/>
      <c r="H19" s="28"/>
      <c r="I19" s="28"/>
      <c r="J19" s="28"/>
      <c r="K19" s="28"/>
      <c r="L19" s="28"/>
      <c r="M19" s="28"/>
      <c r="N19" s="28"/>
    </row>
    <row r="20" spans="1:14" ht="12.75" customHeight="1" x14ac:dyDescent="0.25">
      <c r="A20" s="28"/>
      <c r="B20" s="34" t="s">
        <v>38</v>
      </c>
      <c r="C20" s="28"/>
      <c r="D20" s="28"/>
      <c r="E20" s="28"/>
      <c r="F20" s="28"/>
      <c r="G20" s="28"/>
      <c r="H20" s="28"/>
      <c r="I20" s="28"/>
      <c r="J20" s="28"/>
      <c r="K20" s="28"/>
      <c r="L20" s="28"/>
      <c r="M20" s="28"/>
      <c r="N20" s="28"/>
    </row>
    <row r="21" spans="1:14" ht="12.75" customHeight="1" x14ac:dyDescent="0.25">
      <c r="A21" s="28"/>
      <c r="B21" s="35"/>
      <c r="C21" s="28"/>
      <c r="D21" s="28"/>
      <c r="E21" s="28"/>
      <c r="F21" s="28"/>
      <c r="G21" s="28"/>
      <c r="H21" s="28"/>
      <c r="I21" s="28"/>
      <c r="J21" s="28"/>
      <c r="K21" s="28"/>
      <c r="L21" s="28"/>
      <c r="M21" s="28"/>
      <c r="N21" s="28"/>
    </row>
    <row r="22" spans="1:14" ht="12.75" customHeight="1" x14ac:dyDescent="0.3">
      <c r="A22" s="28"/>
      <c r="B22" s="53" t="s">
        <v>95</v>
      </c>
      <c r="C22" s="28"/>
      <c r="D22" s="28"/>
      <c r="E22" s="28"/>
      <c r="F22" s="28"/>
      <c r="G22" s="28"/>
      <c r="H22" s="28"/>
      <c r="I22" s="28"/>
      <c r="J22" s="28"/>
      <c r="K22" s="28"/>
      <c r="L22" s="28"/>
      <c r="M22" s="28"/>
      <c r="N22" s="28"/>
    </row>
    <row r="23" spans="1:14" ht="11.5" x14ac:dyDescent="0.25">
      <c r="A23" s="28"/>
      <c r="B23" s="34"/>
      <c r="C23" s="35"/>
      <c r="D23" s="28"/>
      <c r="E23" s="28"/>
      <c r="F23" s="28"/>
      <c r="G23" s="28"/>
      <c r="H23" s="28"/>
      <c r="I23" s="28"/>
      <c r="J23" s="28"/>
      <c r="K23" s="28"/>
      <c r="L23" s="28"/>
      <c r="M23" s="28"/>
      <c r="N23" s="28"/>
    </row>
    <row r="24" spans="1:14" ht="12.75" customHeight="1" x14ac:dyDescent="0.25">
      <c r="A24" s="28"/>
      <c r="B24" s="36"/>
      <c r="C24" s="35"/>
      <c r="D24" s="28"/>
      <c r="E24" s="28"/>
      <c r="F24" s="28"/>
      <c r="G24" s="28"/>
      <c r="H24" s="28"/>
      <c r="I24" s="28"/>
      <c r="J24" s="28"/>
      <c r="K24" s="28"/>
      <c r="L24" s="28"/>
      <c r="M24" s="28"/>
      <c r="N24" s="28"/>
    </row>
    <row r="25" spans="1:14" ht="12.75" customHeight="1" x14ac:dyDescent="0.25">
      <c r="A25" s="28"/>
      <c r="D25" s="28"/>
      <c r="E25" s="28"/>
      <c r="F25" s="28"/>
      <c r="G25" s="28"/>
      <c r="H25" s="28"/>
      <c r="I25" s="28"/>
      <c r="J25" s="28"/>
      <c r="K25" s="28"/>
      <c r="L25" s="28"/>
      <c r="M25" s="28"/>
      <c r="N25" s="28"/>
    </row>
    <row r="26" spans="1:14" ht="12.75" customHeight="1" x14ac:dyDescent="0.25">
      <c r="A26" s="28"/>
      <c r="B26" s="36"/>
      <c r="C26" s="35"/>
      <c r="D26" s="28"/>
      <c r="E26" s="28"/>
      <c r="F26" s="28"/>
      <c r="G26" s="28"/>
      <c r="H26" s="28"/>
      <c r="I26" s="28"/>
      <c r="J26" s="28"/>
      <c r="K26" s="28"/>
      <c r="L26" s="28"/>
      <c r="M26" s="28"/>
      <c r="N26" s="28"/>
    </row>
    <row r="27" spans="1:14" ht="12.75" customHeight="1" x14ac:dyDescent="0.25">
      <c r="A27" s="28"/>
      <c r="B27" s="36"/>
      <c r="C27" s="35"/>
      <c r="D27" s="28"/>
      <c r="E27" s="28"/>
      <c r="F27" s="28"/>
      <c r="G27" s="28"/>
      <c r="H27" s="28"/>
      <c r="I27" s="28"/>
      <c r="J27" s="28"/>
      <c r="K27" s="28"/>
      <c r="L27" s="28"/>
      <c r="M27" s="28"/>
      <c r="N27" s="28"/>
    </row>
    <row r="28" spans="1:14" ht="12.75" customHeight="1" x14ac:dyDescent="0.25">
      <c r="A28" s="28"/>
      <c r="B28" s="36"/>
      <c r="C28" s="35"/>
      <c r="D28" s="28"/>
      <c r="E28" s="28"/>
      <c r="F28" s="28"/>
      <c r="G28" s="28"/>
      <c r="H28" s="28"/>
      <c r="I28" s="28"/>
      <c r="J28" s="28"/>
      <c r="K28" s="28"/>
      <c r="L28" s="28"/>
      <c r="M28" s="28"/>
      <c r="N28" s="28"/>
    </row>
    <row r="29" spans="1:14" ht="12.75" customHeight="1" x14ac:dyDescent="0.25">
      <c r="A29" s="28"/>
      <c r="B29" s="36"/>
      <c r="C29" s="35"/>
      <c r="D29" s="28"/>
      <c r="E29" s="28"/>
      <c r="F29" s="28"/>
      <c r="G29" s="28"/>
      <c r="H29" s="28"/>
      <c r="I29" s="28"/>
      <c r="J29" s="28"/>
      <c r="K29" s="28"/>
      <c r="L29" s="28"/>
      <c r="M29" s="28"/>
      <c r="N29" s="28"/>
    </row>
    <row r="30" spans="1:14" ht="12.75" customHeight="1" x14ac:dyDescent="0.25">
      <c r="A30" s="28"/>
      <c r="B30" s="36"/>
      <c r="C30" s="35"/>
      <c r="D30" s="28"/>
      <c r="E30" s="28"/>
      <c r="F30" s="28"/>
      <c r="G30" s="28"/>
      <c r="H30" s="28"/>
      <c r="I30" s="28"/>
      <c r="J30" s="28"/>
      <c r="K30" s="28"/>
      <c r="L30" s="28"/>
      <c r="M30" s="28"/>
      <c r="N30" s="28"/>
    </row>
    <row r="31" spans="1:14" ht="12.75" customHeight="1" x14ac:dyDescent="0.25">
      <c r="A31" s="28"/>
      <c r="B31" s="36"/>
      <c r="C31" s="35"/>
      <c r="D31" s="28"/>
      <c r="E31" s="28"/>
      <c r="F31" s="28"/>
      <c r="G31" s="28"/>
      <c r="H31" s="28"/>
      <c r="I31" s="28"/>
      <c r="J31" s="28"/>
      <c r="K31" s="28"/>
      <c r="L31" s="28"/>
      <c r="M31" s="28"/>
      <c r="N31" s="28"/>
    </row>
    <row r="32" spans="1:14" ht="19" x14ac:dyDescent="0.4">
      <c r="A32" s="221">
        <v>9</v>
      </c>
      <c r="B32" s="26" t="s">
        <v>40</v>
      </c>
      <c r="C32" s="28"/>
      <c r="D32" s="28"/>
      <c r="E32" s="101"/>
      <c r="F32" s="28"/>
      <c r="G32" s="28"/>
      <c r="H32" s="28"/>
      <c r="I32" s="28"/>
      <c r="J32" s="28"/>
      <c r="K32" s="28"/>
      <c r="L32" s="28"/>
      <c r="M32" s="28"/>
      <c r="N32" s="28"/>
    </row>
    <row r="33" spans="1:14" ht="12.75" customHeight="1" thickBot="1" x14ac:dyDescent="0.3">
      <c r="A33" s="28"/>
      <c r="B33" s="28"/>
      <c r="C33" s="28"/>
      <c r="D33" s="28"/>
      <c r="E33" s="28"/>
      <c r="F33" s="28"/>
      <c r="G33" s="28"/>
      <c r="H33" s="28"/>
      <c r="I33" s="28"/>
      <c r="J33" s="28"/>
      <c r="K33" s="28"/>
      <c r="L33" s="28"/>
      <c r="M33" s="28"/>
      <c r="N33" s="28"/>
    </row>
    <row r="34" spans="1:14" ht="12.75" customHeight="1" x14ac:dyDescent="0.25">
      <c r="A34" s="118"/>
      <c r="B34" s="118"/>
      <c r="C34" s="119"/>
      <c r="D34" s="120"/>
      <c r="E34" s="121"/>
      <c r="F34" s="119"/>
      <c r="G34" s="119"/>
      <c r="H34" s="119"/>
      <c r="I34" s="119"/>
      <c r="J34" s="119"/>
      <c r="K34" s="122"/>
      <c r="L34" s="123"/>
      <c r="M34" s="123"/>
      <c r="N34" s="28"/>
    </row>
    <row r="35" spans="1:14" ht="25.5" customHeight="1" x14ac:dyDescent="0.25">
      <c r="A35" s="124" t="s">
        <v>20</v>
      </c>
      <c r="B35" s="124" t="s">
        <v>21</v>
      </c>
      <c r="C35" s="125" t="s">
        <v>22</v>
      </c>
      <c r="D35" s="126" t="s">
        <v>30</v>
      </c>
      <c r="E35" s="127" t="s">
        <v>23</v>
      </c>
      <c r="F35" s="125" t="s">
        <v>31</v>
      </c>
      <c r="G35" s="125" t="s">
        <v>39</v>
      </c>
      <c r="H35" s="125" t="s">
        <v>24</v>
      </c>
      <c r="I35" s="125" t="s">
        <v>33</v>
      </c>
      <c r="J35" s="125" t="s">
        <v>34</v>
      </c>
      <c r="K35" s="128" t="s">
        <v>32</v>
      </c>
      <c r="L35" s="126" t="s">
        <v>35</v>
      </c>
      <c r="M35" s="129" t="s">
        <v>26</v>
      </c>
      <c r="N35" s="28"/>
    </row>
    <row r="36" spans="1:14" ht="12.75" customHeight="1" thickBot="1" x14ac:dyDescent="0.3">
      <c r="A36" s="130"/>
      <c r="B36" s="130" t="s">
        <v>27</v>
      </c>
      <c r="C36" s="131" t="s">
        <v>27</v>
      </c>
      <c r="D36" s="132" t="s">
        <v>27</v>
      </c>
      <c r="E36" s="131" t="s">
        <v>27</v>
      </c>
      <c r="F36" s="131" t="s">
        <v>27</v>
      </c>
      <c r="G36" s="131" t="s">
        <v>27</v>
      </c>
      <c r="H36" s="131" t="s">
        <v>27</v>
      </c>
      <c r="I36" s="131" t="s">
        <v>27</v>
      </c>
      <c r="J36" s="131" t="s">
        <v>27</v>
      </c>
      <c r="K36" s="133" t="s">
        <v>27</v>
      </c>
      <c r="L36" s="132" t="s">
        <v>27</v>
      </c>
      <c r="M36" s="132"/>
      <c r="N36" s="28"/>
    </row>
    <row r="37" spans="1:14" ht="12.75" customHeight="1" x14ac:dyDescent="0.25">
      <c r="A37" s="103"/>
      <c r="B37" s="104"/>
      <c r="C37" s="105"/>
      <c r="D37" s="134">
        <f t="shared" ref="D37:D61" si="0">SUM(B37:C37)</f>
        <v>0</v>
      </c>
      <c r="E37" s="104"/>
      <c r="F37" s="105"/>
      <c r="G37" s="105"/>
      <c r="H37" s="105"/>
      <c r="I37" s="105"/>
      <c r="J37" s="105"/>
      <c r="K37" s="106"/>
      <c r="L37" s="134">
        <f t="shared" ref="L37:L61" si="1">SUM(D37:K37)</f>
        <v>0</v>
      </c>
      <c r="M37" s="107" t="str">
        <f>IF(ISERROR(D37/L37),"",(D37/L37))</f>
        <v/>
      </c>
      <c r="N37" s="28"/>
    </row>
    <row r="38" spans="1:14" ht="12.75" customHeight="1" x14ac:dyDescent="0.25">
      <c r="A38" s="108"/>
      <c r="B38" s="104"/>
      <c r="C38" s="105"/>
      <c r="D38" s="134">
        <f t="shared" si="0"/>
        <v>0</v>
      </c>
      <c r="E38" s="104"/>
      <c r="F38" s="105"/>
      <c r="G38" s="105"/>
      <c r="H38" s="105"/>
      <c r="I38" s="105"/>
      <c r="J38" s="105"/>
      <c r="K38" s="106"/>
      <c r="L38" s="134">
        <f t="shared" si="1"/>
        <v>0</v>
      </c>
      <c r="M38" s="107" t="str">
        <f t="shared" ref="M38:M62" si="2">IF(ISERROR(D38/L38),"",(D38/L38))</f>
        <v/>
      </c>
      <c r="N38" s="28"/>
    </row>
    <row r="39" spans="1:14" ht="12.75" customHeight="1" x14ac:dyDescent="0.25">
      <c r="A39" s="108"/>
      <c r="B39" s="104"/>
      <c r="C39" s="105"/>
      <c r="D39" s="134">
        <f t="shared" si="0"/>
        <v>0</v>
      </c>
      <c r="E39" s="104"/>
      <c r="F39" s="105"/>
      <c r="G39" s="105"/>
      <c r="H39" s="105"/>
      <c r="I39" s="105"/>
      <c r="J39" s="105"/>
      <c r="K39" s="106"/>
      <c r="L39" s="134">
        <f t="shared" si="1"/>
        <v>0</v>
      </c>
      <c r="M39" s="107" t="str">
        <f t="shared" si="2"/>
        <v/>
      </c>
      <c r="N39" s="28"/>
    </row>
    <row r="40" spans="1:14" ht="12.75" customHeight="1" x14ac:dyDescent="0.25">
      <c r="A40" s="108"/>
      <c r="B40" s="104"/>
      <c r="C40" s="105"/>
      <c r="D40" s="134">
        <f t="shared" si="0"/>
        <v>0</v>
      </c>
      <c r="E40" s="104"/>
      <c r="F40" s="105"/>
      <c r="G40" s="105"/>
      <c r="H40" s="105"/>
      <c r="I40" s="105"/>
      <c r="J40" s="105"/>
      <c r="K40" s="106"/>
      <c r="L40" s="134">
        <f t="shared" si="1"/>
        <v>0</v>
      </c>
      <c r="M40" s="107" t="str">
        <f t="shared" si="2"/>
        <v/>
      </c>
      <c r="N40" s="28"/>
    </row>
    <row r="41" spans="1:14" ht="12.75" customHeight="1" x14ac:dyDescent="0.25">
      <c r="A41" s="108"/>
      <c r="B41" s="104"/>
      <c r="C41" s="105"/>
      <c r="D41" s="134">
        <f t="shared" si="0"/>
        <v>0</v>
      </c>
      <c r="E41" s="104"/>
      <c r="F41" s="105"/>
      <c r="G41" s="105"/>
      <c r="H41" s="105"/>
      <c r="I41" s="105"/>
      <c r="J41" s="105"/>
      <c r="K41" s="106"/>
      <c r="L41" s="134">
        <f t="shared" si="1"/>
        <v>0</v>
      </c>
      <c r="M41" s="107" t="str">
        <f t="shared" si="2"/>
        <v/>
      </c>
      <c r="N41" s="28"/>
    </row>
    <row r="42" spans="1:14" ht="12.75" customHeight="1" x14ac:dyDescent="0.25">
      <c r="A42" s="108"/>
      <c r="B42" s="104"/>
      <c r="C42" s="105"/>
      <c r="D42" s="134">
        <f t="shared" si="0"/>
        <v>0</v>
      </c>
      <c r="E42" s="104"/>
      <c r="F42" s="105"/>
      <c r="G42" s="105"/>
      <c r="H42" s="105"/>
      <c r="I42" s="105"/>
      <c r="J42" s="105"/>
      <c r="K42" s="106"/>
      <c r="L42" s="134">
        <f t="shared" si="1"/>
        <v>0</v>
      </c>
      <c r="M42" s="107" t="str">
        <f t="shared" si="2"/>
        <v/>
      </c>
      <c r="N42" s="28"/>
    </row>
    <row r="43" spans="1:14" ht="12.75" customHeight="1" x14ac:dyDescent="0.25">
      <c r="A43" s="108"/>
      <c r="B43" s="104"/>
      <c r="C43" s="105"/>
      <c r="D43" s="134">
        <f t="shared" si="0"/>
        <v>0</v>
      </c>
      <c r="E43" s="104"/>
      <c r="F43" s="105"/>
      <c r="G43" s="105"/>
      <c r="H43" s="105"/>
      <c r="I43" s="105"/>
      <c r="J43" s="105"/>
      <c r="K43" s="106"/>
      <c r="L43" s="134">
        <f t="shared" si="1"/>
        <v>0</v>
      </c>
      <c r="M43" s="107" t="str">
        <f t="shared" si="2"/>
        <v/>
      </c>
      <c r="N43" s="28"/>
    </row>
    <row r="44" spans="1:14" ht="12.75" customHeight="1" x14ac:dyDescent="0.25">
      <c r="A44" s="108"/>
      <c r="B44" s="104"/>
      <c r="C44" s="105"/>
      <c r="D44" s="134">
        <f t="shared" si="0"/>
        <v>0</v>
      </c>
      <c r="E44" s="104"/>
      <c r="F44" s="105"/>
      <c r="G44" s="105"/>
      <c r="H44" s="105"/>
      <c r="I44" s="105"/>
      <c r="J44" s="105"/>
      <c r="K44" s="106"/>
      <c r="L44" s="134">
        <f t="shared" si="1"/>
        <v>0</v>
      </c>
      <c r="M44" s="107" t="str">
        <f t="shared" si="2"/>
        <v/>
      </c>
      <c r="N44" s="28"/>
    </row>
    <row r="45" spans="1:14" ht="12.75" customHeight="1" x14ac:dyDescent="0.25">
      <c r="A45" s="108"/>
      <c r="B45" s="104"/>
      <c r="C45" s="105"/>
      <c r="D45" s="134">
        <f t="shared" si="0"/>
        <v>0</v>
      </c>
      <c r="E45" s="104"/>
      <c r="F45" s="105"/>
      <c r="G45" s="105"/>
      <c r="H45" s="105"/>
      <c r="I45" s="105"/>
      <c r="J45" s="105"/>
      <c r="K45" s="106"/>
      <c r="L45" s="134">
        <f t="shared" si="1"/>
        <v>0</v>
      </c>
      <c r="M45" s="107" t="str">
        <f t="shared" si="2"/>
        <v/>
      </c>
      <c r="N45" s="28"/>
    </row>
    <row r="46" spans="1:14" ht="12.75" customHeight="1" x14ac:dyDescent="0.25">
      <c r="A46" s="108"/>
      <c r="B46" s="104"/>
      <c r="C46" s="109"/>
      <c r="D46" s="134">
        <f t="shared" si="0"/>
        <v>0</v>
      </c>
      <c r="E46" s="104"/>
      <c r="F46" s="105"/>
      <c r="G46" s="105"/>
      <c r="H46" s="105"/>
      <c r="I46" s="105"/>
      <c r="J46" s="105"/>
      <c r="K46" s="106"/>
      <c r="L46" s="134">
        <f t="shared" si="1"/>
        <v>0</v>
      </c>
      <c r="M46" s="107" t="str">
        <f t="shared" si="2"/>
        <v/>
      </c>
      <c r="N46" s="28"/>
    </row>
    <row r="47" spans="1:14" ht="12.75" customHeight="1" x14ac:dyDescent="0.25">
      <c r="A47" s="108"/>
      <c r="B47" s="104"/>
      <c r="C47" s="109"/>
      <c r="D47" s="134">
        <f t="shared" si="0"/>
        <v>0</v>
      </c>
      <c r="E47" s="104"/>
      <c r="F47" s="105"/>
      <c r="G47" s="105"/>
      <c r="H47" s="105"/>
      <c r="I47" s="105"/>
      <c r="J47" s="105"/>
      <c r="K47" s="106"/>
      <c r="L47" s="134">
        <f t="shared" si="1"/>
        <v>0</v>
      </c>
      <c r="M47" s="107" t="str">
        <f t="shared" si="2"/>
        <v/>
      </c>
      <c r="N47" s="28"/>
    </row>
    <row r="48" spans="1:14" ht="12.75" customHeight="1" x14ac:dyDescent="0.25">
      <c r="A48" s="108"/>
      <c r="B48" s="104"/>
      <c r="C48" s="109"/>
      <c r="D48" s="134">
        <f t="shared" si="0"/>
        <v>0</v>
      </c>
      <c r="E48" s="104"/>
      <c r="F48" s="105"/>
      <c r="G48" s="105"/>
      <c r="H48" s="105"/>
      <c r="I48" s="105"/>
      <c r="J48" s="105"/>
      <c r="K48" s="106"/>
      <c r="L48" s="134">
        <f t="shared" si="1"/>
        <v>0</v>
      </c>
      <c r="M48" s="107" t="str">
        <f t="shared" si="2"/>
        <v/>
      </c>
      <c r="N48" s="28"/>
    </row>
    <row r="49" spans="1:14" ht="12.75" customHeight="1" x14ac:dyDescent="0.25">
      <c r="A49" s="108"/>
      <c r="B49" s="104"/>
      <c r="C49" s="109"/>
      <c r="D49" s="134">
        <f t="shared" si="0"/>
        <v>0</v>
      </c>
      <c r="E49" s="104"/>
      <c r="F49" s="105"/>
      <c r="G49" s="105"/>
      <c r="H49" s="105"/>
      <c r="I49" s="105"/>
      <c r="J49" s="105"/>
      <c r="K49" s="106"/>
      <c r="L49" s="134">
        <f t="shared" si="1"/>
        <v>0</v>
      </c>
      <c r="M49" s="107" t="str">
        <f t="shared" si="2"/>
        <v/>
      </c>
      <c r="N49" s="28"/>
    </row>
    <row r="50" spans="1:14" ht="12.75" customHeight="1" x14ac:dyDescent="0.25">
      <c r="A50" s="108"/>
      <c r="B50" s="104"/>
      <c r="C50" s="109"/>
      <c r="D50" s="134">
        <f t="shared" si="0"/>
        <v>0</v>
      </c>
      <c r="E50" s="104"/>
      <c r="F50" s="105"/>
      <c r="G50" s="105"/>
      <c r="H50" s="105"/>
      <c r="I50" s="105"/>
      <c r="J50" s="105"/>
      <c r="K50" s="106"/>
      <c r="L50" s="134">
        <f t="shared" si="1"/>
        <v>0</v>
      </c>
      <c r="M50" s="107" t="str">
        <f t="shared" si="2"/>
        <v/>
      </c>
      <c r="N50" s="28"/>
    </row>
    <row r="51" spans="1:14" ht="12.75" customHeight="1" x14ac:dyDescent="0.25">
      <c r="A51" s="108"/>
      <c r="B51" s="110"/>
      <c r="C51" s="109"/>
      <c r="D51" s="134">
        <f t="shared" si="0"/>
        <v>0</v>
      </c>
      <c r="E51" s="104"/>
      <c r="F51" s="109"/>
      <c r="G51" s="109"/>
      <c r="H51" s="109"/>
      <c r="I51" s="109"/>
      <c r="J51" s="109"/>
      <c r="K51" s="111"/>
      <c r="L51" s="134">
        <f t="shared" si="1"/>
        <v>0</v>
      </c>
      <c r="M51" s="107" t="str">
        <f t="shared" si="2"/>
        <v/>
      </c>
      <c r="N51" s="28"/>
    </row>
    <row r="52" spans="1:14" ht="12.75" customHeight="1" x14ac:dyDescent="0.25">
      <c r="A52" s="108"/>
      <c r="B52" s="112"/>
      <c r="C52" s="109"/>
      <c r="D52" s="134">
        <f t="shared" si="0"/>
        <v>0</v>
      </c>
      <c r="E52" s="113"/>
      <c r="F52" s="113"/>
      <c r="G52" s="113"/>
      <c r="H52" s="113"/>
      <c r="I52" s="113"/>
      <c r="J52" s="113"/>
      <c r="K52" s="111"/>
      <c r="L52" s="134">
        <f t="shared" si="1"/>
        <v>0</v>
      </c>
      <c r="M52" s="107" t="str">
        <f t="shared" si="2"/>
        <v/>
      </c>
      <c r="N52" s="28"/>
    </row>
    <row r="53" spans="1:14" ht="12.75" customHeight="1" x14ac:dyDescent="0.25">
      <c r="A53" s="108"/>
      <c r="B53" s="110"/>
      <c r="C53" s="109"/>
      <c r="D53" s="134">
        <f t="shared" si="0"/>
        <v>0</v>
      </c>
      <c r="E53" s="109"/>
      <c r="F53" s="109"/>
      <c r="G53" s="109"/>
      <c r="H53" s="109"/>
      <c r="I53" s="109"/>
      <c r="J53" s="109"/>
      <c r="K53" s="111"/>
      <c r="L53" s="134">
        <f t="shared" si="1"/>
        <v>0</v>
      </c>
      <c r="M53" s="107" t="str">
        <f t="shared" si="2"/>
        <v/>
      </c>
      <c r="N53" s="28"/>
    </row>
    <row r="54" spans="1:14" ht="12.75" customHeight="1" x14ac:dyDescent="0.25">
      <c r="A54" s="108"/>
      <c r="B54" s="110"/>
      <c r="C54" s="109"/>
      <c r="D54" s="134">
        <f t="shared" si="0"/>
        <v>0</v>
      </c>
      <c r="E54" s="109"/>
      <c r="F54" s="109"/>
      <c r="G54" s="109"/>
      <c r="H54" s="109"/>
      <c r="I54" s="109"/>
      <c r="J54" s="109"/>
      <c r="K54" s="111"/>
      <c r="L54" s="134">
        <f t="shared" si="1"/>
        <v>0</v>
      </c>
      <c r="M54" s="107" t="str">
        <f t="shared" si="2"/>
        <v/>
      </c>
      <c r="N54" s="28"/>
    </row>
    <row r="55" spans="1:14" ht="12.75" customHeight="1" x14ac:dyDescent="0.25">
      <c r="A55" s="108"/>
      <c r="B55" s="110"/>
      <c r="C55" s="109"/>
      <c r="D55" s="134">
        <f t="shared" si="0"/>
        <v>0</v>
      </c>
      <c r="E55" s="109"/>
      <c r="F55" s="109"/>
      <c r="G55" s="109"/>
      <c r="H55" s="109"/>
      <c r="I55" s="109"/>
      <c r="J55" s="109"/>
      <c r="K55" s="111"/>
      <c r="L55" s="134">
        <f t="shared" si="1"/>
        <v>0</v>
      </c>
      <c r="M55" s="107" t="str">
        <f t="shared" si="2"/>
        <v/>
      </c>
      <c r="N55" s="28"/>
    </row>
    <row r="56" spans="1:14" ht="12.75" customHeight="1" x14ac:dyDescent="0.25">
      <c r="A56" s="108"/>
      <c r="B56" s="110"/>
      <c r="C56" s="109"/>
      <c r="D56" s="134">
        <f t="shared" si="0"/>
        <v>0</v>
      </c>
      <c r="E56" s="109"/>
      <c r="F56" s="109"/>
      <c r="G56" s="109"/>
      <c r="H56" s="109"/>
      <c r="I56" s="109"/>
      <c r="J56" s="109"/>
      <c r="K56" s="111"/>
      <c r="L56" s="134">
        <f t="shared" si="1"/>
        <v>0</v>
      </c>
      <c r="M56" s="107" t="str">
        <f t="shared" si="2"/>
        <v/>
      </c>
      <c r="N56" s="28"/>
    </row>
    <row r="57" spans="1:14" ht="12.75" customHeight="1" x14ac:dyDescent="0.25">
      <c r="A57" s="108"/>
      <c r="B57" s="110"/>
      <c r="C57" s="109"/>
      <c r="D57" s="134">
        <f t="shared" si="0"/>
        <v>0</v>
      </c>
      <c r="E57" s="109"/>
      <c r="F57" s="109"/>
      <c r="G57" s="109"/>
      <c r="H57" s="109"/>
      <c r="I57" s="109"/>
      <c r="J57" s="109"/>
      <c r="K57" s="111"/>
      <c r="L57" s="134">
        <f t="shared" si="1"/>
        <v>0</v>
      </c>
      <c r="M57" s="107" t="str">
        <f t="shared" si="2"/>
        <v/>
      </c>
      <c r="N57" s="28"/>
    </row>
    <row r="58" spans="1:14" ht="12.75" customHeight="1" x14ac:dyDescent="0.25">
      <c r="A58" s="108"/>
      <c r="B58" s="110"/>
      <c r="C58" s="109"/>
      <c r="D58" s="134">
        <f t="shared" si="0"/>
        <v>0</v>
      </c>
      <c r="E58" s="109"/>
      <c r="F58" s="109"/>
      <c r="G58" s="109"/>
      <c r="H58" s="109"/>
      <c r="I58" s="109"/>
      <c r="J58" s="109"/>
      <c r="K58" s="111"/>
      <c r="L58" s="134">
        <f t="shared" si="1"/>
        <v>0</v>
      </c>
      <c r="M58" s="107" t="str">
        <f t="shared" si="2"/>
        <v/>
      </c>
      <c r="N58" s="28"/>
    </row>
    <row r="59" spans="1:14" ht="12.75" customHeight="1" x14ac:dyDescent="0.25">
      <c r="A59" s="108"/>
      <c r="B59" s="110"/>
      <c r="C59" s="105"/>
      <c r="D59" s="134">
        <f t="shared" si="0"/>
        <v>0</v>
      </c>
      <c r="E59" s="109"/>
      <c r="F59" s="109"/>
      <c r="G59" s="109"/>
      <c r="H59" s="109"/>
      <c r="I59" s="109"/>
      <c r="J59" s="109"/>
      <c r="K59" s="111"/>
      <c r="L59" s="134">
        <f t="shared" si="1"/>
        <v>0</v>
      </c>
      <c r="M59" s="107" t="str">
        <f t="shared" si="2"/>
        <v/>
      </c>
      <c r="N59" s="28"/>
    </row>
    <row r="60" spans="1:14" ht="12.75" customHeight="1" x14ac:dyDescent="0.25">
      <c r="A60" s="108"/>
      <c r="B60" s="114"/>
      <c r="C60" s="115"/>
      <c r="D60" s="134">
        <f t="shared" si="0"/>
        <v>0</v>
      </c>
      <c r="E60" s="114"/>
      <c r="F60" s="116"/>
      <c r="G60" s="116"/>
      <c r="H60" s="116"/>
      <c r="I60" s="116"/>
      <c r="J60" s="116"/>
      <c r="K60" s="106"/>
      <c r="L60" s="134">
        <f t="shared" si="1"/>
        <v>0</v>
      </c>
      <c r="M60" s="107" t="str">
        <f t="shared" si="2"/>
        <v/>
      </c>
      <c r="N60" s="28"/>
    </row>
    <row r="61" spans="1:14" ht="12.75" customHeight="1" thickBot="1" x14ac:dyDescent="0.3">
      <c r="A61" s="117"/>
      <c r="B61" s="114"/>
      <c r="C61" s="116"/>
      <c r="D61" s="134">
        <f t="shared" si="0"/>
        <v>0</v>
      </c>
      <c r="E61" s="114"/>
      <c r="F61" s="116"/>
      <c r="G61" s="116"/>
      <c r="H61" s="116"/>
      <c r="I61" s="116"/>
      <c r="J61" s="116"/>
      <c r="K61" s="106"/>
      <c r="L61" s="134">
        <f t="shared" si="1"/>
        <v>0</v>
      </c>
      <c r="M61" s="107" t="str">
        <f t="shared" si="2"/>
        <v/>
      </c>
      <c r="N61" s="28"/>
    </row>
    <row r="62" spans="1:14" ht="12.75" customHeight="1" thickBot="1" x14ac:dyDescent="0.3">
      <c r="A62" s="136" t="s">
        <v>28</v>
      </c>
      <c r="B62" s="137">
        <f>SUM(B37:B61)</f>
        <v>0</v>
      </c>
      <c r="C62" s="138">
        <f>SUM(C37:C61)</f>
        <v>0</v>
      </c>
      <c r="D62" s="135">
        <f>SUM(D37:D61)</f>
        <v>0</v>
      </c>
      <c r="E62" s="138">
        <f>SUM(E37:E61)</f>
        <v>0</v>
      </c>
      <c r="F62" s="138">
        <f>SUM(F37:F61)</f>
        <v>0</v>
      </c>
      <c r="G62" s="138">
        <f t="shared" ref="G62:L62" si="3">SUM(G37:G61)</f>
        <v>0</v>
      </c>
      <c r="H62" s="138">
        <f t="shared" si="3"/>
        <v>0</v>
      </c>
      <c r="I62" s="138">
        <f t="shared" si="3"/>
        <v>0</v>
      </c>
      <c r="J62" s="138">
        <f t="shared" si="3"/>
        <v>0</v>
      </c>
      <c r="K62" s="139">
        <f t="shared" si="3"/>
        <v>0</v>
      </c>
      <c r="L62" s="135">
        <f t="shared" si="3"/>
        <v>0</v>
      </c>
      <c r="M62" s="140" t="str">
        <f t="shared" si="2"/>
        <v/>
      </c>
      <c r="N62" s="28"/>
    </row>
    <row r="63" spans="1:14" ht="12.75" customHeight="1" x14ac:dyDescent="0.25">
      <c r="A63" s="28"/>
      <c r="B63" s="28"/>
      <c r="C63" s="28"/>
      <c r="D63" s="28"/>
      <c r="E63" s="28"/>
      <c r="F63" s="28"/>
      <c r="G63" s="28"/>
      <c r="H63" s="28"/>
      <c r="I63" s="28"/>
      <c r="J63" s="28"/>
      <c r="K63" s="28"/>
      <c r="L63" s="28"/>
      <c r="M63" s="28"/>
      <c r="N63" s="28"/>
    </row>
    <row r="64" spans="1:14" ht="12.75" customHeight="1" x14ac:dyDescent="0.25">
      <c r="A64" s="43" t="s">
        <v>143</v>
      </c>
      <c r="B64" s="28"/>
      <c r="C64" s="28"/>
      <c r="D64" s="28"/>
      <c r="E64" s="28"/>
      <c r="F64" s="28"/>
      <c r="G64" s="28"/>
      <c r="H64" s="28"/>
      <c r="I64" s="28"/>
      <c r="J64" s="28"/>
      <c r="K64" s="28"/>
      <c r="L64" s="28"/>
      <c r="M64" s="28"/>
      <c r="N64" s="28"/>
    </row>
    <row r="65" spans="1:14" ht="12.75" customHeight="1" x14ac:dyDescent="0.25">
      <c r="A65" s="43"/>
      <c r="B65" s="28"/>
      <c r="C65" s="28"/>
      <c r="D65" s="28"/>
      <c r="E65" s="28"/>
      <c r="F65" s="28"/>
      <c r="G65" s="28"/>
      <c r="H65" s="28"/>
      <c r="I65" s="28"/>
      <c r="J65" s="28"/>
      <c r="K65" s="28"/>
      <c r="L65" s="28"/>
      <c r="M65" s="28"/>
      <c r="N65" s="28"/>
    </row>
    <row r="66" spans="1:14" ht="19" x14ac:dyDescent="0.4">
      <c r="A66" s="221" t="str">
        <f>A1</f>
        <v>9.0</v>
      </c>
      <c r="B66" s="26" t="s">
        <v>41</v>
      </c>
      <c r="C66" s="28"/>
      <c r="D66" s="28"/>
      <c r="E66" s="101"/>
      <c r="F66" s="28"/>
      <c r="G66" s="28"/>
      <c r="H66" s="28"/>
      <c r="I66" s="28"/>
      <c r="J66" s="28"/>
      <c r="K66" s="28"/>
      <c r="L66" s="28"/>
      <c r="M66" s="28"/>
      <c r="N66" s="28"/>
    </row>
    <row r="67" spans="1:14" ht="12.75" customHeight="1" thickBot="1" x14ac:dyDescent="0.3">
      <c r="A67" s="28"/>
      <c r="B67" s="28"/>
      <c r="C67" s="28"/>
      <c r="D67" s="28"/>
      <c r="E67" s="28"/>
      <c r="F67" s="28"/>
      <c r="G67" s="28"/>
      <c r="H67" s="28"/>
      <c r="I67" s="28"/>
      <c r="J67" s="28"/>
      <c r="K67" s="28"/>
      <c r="L67" s="28"/>
      <c r="M67" s="28"/>
      <c r="N67" s="28"/>
    </row>
    <row r="68" spans="1:14" ht="12.75" customHeight="1" x14ac:dyDescent="0.25">
      <c r="A68" s="118"/>
      <c r="B68" s="118"/>
      <c r="C68" s="119"/>
      <c r="D68" s="120"/>
      <c r="E68" s="121"/>
      <c r="F68" s="119"/>
      <c r="G68" s="119"/>
      <c r="H68" s="119"/>
      <c r="I68" s="119"/>
      <c r="J68" s="119"/>
      <c r="K68" s="122"/>
      <c r="L68" s="123"/>
      <c r="M68" s="123"/>
      <c r="N68" s="28"/>
    </row>
    <row r="69" spans="1:14" ht="25.5" customHeight="1" x14ac:dyDescent="0.25">
      <c r="A69" s="124" t="s">
        <v>20</v>
      </c>
      <c r="B69" s="124" t="s">
        <v>21</v>
      </c>
      <c r="C69" s="125" t="s">
        <v>22</v>
      </c>
      <c r="D69" s="126" t="s">
        <v>30</v>
      </c>
      <c r="E69" s="127" t="s">
        <v>23</v>
      </c>
      <c r="F69" s="125" t="s">
        <v>31</v>
      </c>
      <c r="G69" s="125" t="s">
        <v>39</v>
      </c>
      <c r="H69" s="125" t="s">
        <v>24</v>
      </c>
      <c r="I69" s="125" t="s">
        <v>33</v>
      </c>
      <c r="J69" s="125" t="s">
        <v>34</v>
      </c>
      <c r="K69" s="128" t="s">
        <v>32</v>
      </c>
      <c r="L69" s="126" t="s">
        <v>35</v>
      </c>
      <c r="M69" s="129" t="s">
        <v>26</v>
      </c>
      <c r="N69" s="28"/>
    </row>
    <row r="70" spans="1:14" ht="12.75" customHeight="1" thickBot="1" x14ac:dyDescent="0.3">
      <c r="A70" s="130"/>
      <c r="B70" s="130" t="s">
        <v>42</v>
      </c>
      <c r="C70" s="131" t="s">
        <v>42</v>
      </c>
      <c r="D70" s="132" t="s">
        <v>42</v>
      </c>
      <c r="E70" s="131" t="s">
        <v>42</v>
      </c>
      <c r="F70" s="131" t="s">
        <v>42</v>
      </c>
      <c r="G70" s="131" t="s">
        <v>42</v>
      </c>
      <c r="H70" s="131" t="s">
        <v>42</v>
      </c>
      <c r="I70" s="131" t="s">
        <v>42</v>
      </c>
      <c r="J70" s="131" t="s">
        <v>42</v>
      </c>
      <c r="K70" s="133" t="s">
        <v>42</v>
      </c>
      <c r="L70" s="132" t="s">
        <v>42</v>
      </c>
      <c r="M70" s="132"/>
      <c r="N70" s="28"/>
    </row>
    <row r="71" spans="1:14" ht="12.75" customHeight="1" x14ac:dyDescent="0.25">
      <c r="A71" s="103"/>
      <c r="B71" s="104">
        <f t="shared" ref="B71:C76" si="4">B37*10.764</f>
        <v>0</v>
      </c>
      <c r="C71" s="105">
        <f t="shared" si="4"/>
        <v>0</v>
      </c>
      <c r="D71" s="134">
        <f t="shared" ref="D71:D95" si="5">SUM(B71:C71)</f>
        <v>0</v>
      </c>
      <c r="E71" s="104">
        <f t="shared" ref="E71:K71" si="6">E37*10.764</f>
        <v>0</v>
      </c>
      <c r="F71" s="105">
        <f t="shared" si="6"/>
        <v>0</v>
      </c>
      <c r="G71" s="105">
        <f t="shared" si="6"/>
        <v>0</v>
      </c>
      <c r="H71" s="105">
        <f t="shared" si="6"/>
        <v>0</v>
      </c>
      <c r="I71" s="105">
        <f t="shared" si="6"/>
        <v>0</v>
      </c>
      <c r="J71" s="105">
        <f t="shared" si="6"/>
        <v>0</v>
      </c>
      <c r="K71" s="106">
        <f t="shared" si="6"/>
        <v>0</v>
      </c>
      <c r="L71" s="134">
        <f t="shared" ref="L71:L95" si="7">SUM(D71:K71)</f>
        <v>0</v>
      </c>
      <c r="M71" s="107" t="str">
        <f t="shared" ref="M71:M96" si="8">IF(ISERROR(D71/L71),"",(D71/L71))</f>
        <v/>
      </c>
      <c r="N71" s="28"/>
    </row>
    <row r="72" spans="1:14" ht="12.75" customHeight="1" x14ac:dyDescent="0.25">
      <c r="A72" s="108"/>
      <c r="B72" s="104">
        <f t="shared" si="4"/>
        <v>0</v>
      </c>
      <c r="C72" s="105">
        <f t="shared" si="4"/>
        <v>0</v>
      </c>
      <c r="D72" s="134">
        <f t="shared" si="5"/>
        <v>0</v>
      </c>
      <c r="E72" s="104">
        <f t="shared" ref="E72:K72" si="9">E38*10.764</f>
        <v>0</v>
      </c>
      <c r="F72" s="105">
        <f t="shared" si="9"/>
        <v>0</v>
      </c>
      <c r="G72" s="105">
        <f t="shared" si="9"/>
        <v>0</v>
      </c>
      <c r="H72" s="105">
        <f t="shared" si="9"/>
        <v>0</v>
      </c>
      <c r="I72" s="105">
        <f t="shared" si="9"/>
        <v>0</v>
      </c>
      <c r="J72" s="105">
        <f t="shared" si="9"/>
        <v>0</v>
      </c>
      <c r="K72" s="106">
        <f t="shared" si="9"/>
        <v>0</v>
      </c>
      <c r="L72" s="134">
        <f t="shared" si="7"/>
        <v>0</v>
      </c>
      <c r="M72" s="107" t="str">
        <f t="shared" si="8"/>
        <v/>
      </c>
      <c r="N72" s="28"/>
    </row>
    <row r="73" spans="1:14" ht="12.75" customHeight="1" x14ac:dyDescent="0.25">
      <c r="A73" s="108"/>
      <c r="B73" s="104">
        <f t="shared" si="4"/>
        <v>0</v>
      </c>
      <c r="C73" s="105">
        <f t="shared" si="4"/>
        <v>0</v>
      </c>
      <c r="D73" s="134">
        <f t="shared" si="5"/>
        <v>0</v>
      </c>
      <c r="E73" s="104">
        <f t="shared" ref="E73:K73" si="10">E39*10.764</f>
        <v>0</v>
      </c>
      <c r="F73" s="105">
        <f t="shared" si="10"/>
        <v>0</v>
      </c>
      <c r="G73" s="105">
        <f t="shared" si="10"/>
        <v>0</v>
      </c>
      <c r="H73" s="105">
        <f t="shared" si="10"/>
        <v>0</v>
      </c>
      <c r="I73" s="105">
        <f t="shared" si="10"/>
        <v>0</v>
      </c>
      <c r="J73" s="105">
        <f t="shared" si="10"/>
        <v>0</v>
      </c>
      <c r="K73" s="106">
        <f t="shared" si="10"/>
        <v>0</v>
      </c>
      <c r="L73" s="134">
        <f t="shared" si="7"/>
        <v>0</v>
      </c>
      <c r="M73" s="107" t="str">
        <f t="shared" si="8"/>
        <v/>
      </c>
      <c r="N73" s="28"/>
    </row>
    <row r="74" spans="1:14" ht="12.75" customHeight="1" x14ac:dyDescent="0.25">
      <c r="A74" s="108"/>
      <c r="B74" s="104">
        <f t="shared" si="4"/>
        <v>0</v>
      </c>
      <c r="C74" s="105">
        <f t="shared" si="4"/>
        <v>0</v>
      </c>
      <c r="D74" s="134">
        <f t="shared" si="5"/>
        <v>0</v>
      </c>
      <c r="E74" s="104">
        <f t="shared" ref="E74:K74" si="11">E40*10.764</f>
        <v>0</v>
      </c>
      <c r="F74" s="105">
        <f t="shared" si="11"/>
        <v>0</v>
      </c>
      <c r="G74" s="105">
        <f t="shared" si="11"/>
        <v>0</v>
      </c>
      <c r="H74" s="105">
        <f t="shared" si="11"/>
        <v>0</v>
      </c>
      <c r="I74" s="105">
        <f t="shared" si="11"/>
        <v>0</v>
      </c>
      <c r="J74" s="105">
        <f t="shared" si="11"/>
        <v>0</v>
      </c>
      <c r="K74" s="106">
        <f t="shared" si="11"/>
        <v>0</v>
      </c>
      <c r="L74" s="134">
        <f t="shared" si="7"/>
        <v>0</v>
      </c>
      <c r="M74" s="107" t="str">
        <f t="shared" si="8"/>
        <v/>
      </c>
      <c r="N74" s="28"/>
    </row>
    <row r="75" spans="1:14" ht="12.75" customHeight="1" x14ac:dyDescent="0.25">
      <c r="A75" s="108"/>
      <c r="B75" s="104">
        <f t="shared" si="4"/>
        <v>0</v>
      </c>
      <c r="C75" s="105">
        <f t="shared" si="4"/>
        <v>0</v>
      </c>
      <c r="D75" s="134">
        <f t="shared" si="5"/>
        <v>0</v>
      </c>
      <c r="E75" s="104">
        <f t="shared" ref="E75:K75" si="12">E41*10.764</f>
        <v>0</v>
      </c>
      <c r="F75" s="105">
        <f t="shared" si="12"/>
        <v>0</v>
      </c>
      <c r="G75" s="105">
        <f t="shared" si="12"/>
        <v>0</v>
      </c>
      <c r="H75" s="105">
        <f t="shared" si="12"/>
        <v>0</v>
      </c>
      <c r="I75" s="105">
        <f t="shared" si="12"/>
        <v>0</v>
      </c>
      <c r="J75" s="105">
        <f t="shared" si="12"/>
        <v>0</v>
      </c>
      <c r="K75" s="106">
        <f t="shared" si="12"/>
        <v>0</v>
      </c>
      <c r="L75" s="134">
        <f t="shared" si="7"/>
        <v>0</v>
      </c>
      <c r="M75" s="107" t="str">
        <f t="shared" si="8"/>
        <v/>
      </c>
      <c r="N75" s="28"/>
    </row>
    <row r="76" spans="1:14" ht="12.75" customHeight="1" x14ac:dyDescent="0.25">
      <c r="A76" s="108"/>
      <c r="B76" s="104">
        <f t="shared" si="4"/>
        <v>0</v>
      </c>
      <c r="C76" s="105">
        <f t="shared" si="4"/>
        <v>0</v>
      </c>
      <c r="D76" s="134">
        <f t="shared" si="5"/>
        <v>0</v>
      </c>
      <c r="E76" s="104">
        <f t="shared" ref="E76:K76" si="13">E42*10.764</f>
        <v>0</v>
      </c>
      <c r="F76" s="105">
        <f t="shared" si="13"/>
        <v>0</v>
      </c>
      <c r="G76" s="105">
        <f t="shared" si="13"/>
        <v>0</v>
      </c>
      <c r="H76" s="105">
        <f t="shared" si="13"/>
        <v>0</v>
      </c>
      <c r="I76" s="105">
        <f t="shared" si="13"/>
        <v>0</v>
      </c>
      <c r="J76" s="105">
        <f t="shared" si="13"/>
        <v>0</v>
      </c>
      <c r="K76" s="106">
        <f t="shared" si="13"/>
        <v>0</v>
      </c>
      <c r="L76" s="134">
        <f t="shared" si="7"/>
        <v>0</v>
      </c>
      <c r="M76" s="107" t="str">
        <f t="shared" si="8"/>
        <v/>
      </c>
      <c r="N76" s="28"/>
    </row>
    <row r="77" spans="1:14" ht="12.75" customHeight="1" x14ac:dyDescent="0.25">
      <c r="A77" s="108"/>
      <c r="B77" s="104">
        <f t="shared" ref="B77:C95" si="14">B43*10.764</f>
        <v>0</v>
      </c>
      <c r="C77" s="105">
        <f t="shared" si="14"/>
        <v>0</v>
      </c>
      <c r="D77" s="134">
        <f t="shared" si="5"/>
        <v>0</v>
      </c>
      <c r="E77" s="104">
        <f t="shared" ref="E77:K77" si="15">E43*10.764</f>
        <v>0</v>
      </c>
      <c r="F77" s="105">
        <f t="shared" si="15"/>
        <v>0</v>
      </c>
      <c r="G77" s="105">
        <f t="shared" si="15"/>
        <v>0</v>
      </c>
      <c r="H77" s="105">
        <f t="shared" si="15"/>
        <v>0</v>
      </c>
      <c r="I77" s="105">
        <f t="shared" si="15"/>
        <v>0</v>
      </c>
      <c r="J77" s="105">
        <f t="shared" si="15"/>
        <v>0</v>
      </c>
      <c r="K77" s="106">
        <f t="shared" si="15"/>
        <v>0</v>
      </c>
      <c r="L77" s="134">
        <f t="shared" si="7"/>
        <v>0</v>
      </c>
      <c r="M77" s="107" t="str">
        <f t="shared" si="8"/>
        <v/>
      </c>
      <c r="N77" s="28"/>
    </row>
    <row r="78" spans="1:14" ht="12.75" customHeight="1" x14ac:dyDescent="0.25">
      <c r="A78" s="108"/>
      <c r="B78" s="104">
        <f t="shared" si="14"/>
        <v>0</v>
      </c>
      <c r="C78" s="105">
        <f t="shared" si="14"/>
        <v>0</v>
      </c>
      <c r="D78" s="134">
        <f t="shared" si="5"/>
        <v>0</v>
      </c>
      <c r="E78" s="104">
        <f t="shared" ref="E78:K78" si="16">E44*10.764</f>
        <v>0</v>
      </c>
      <c r="F78" s="105">
        <f t="shared" si="16"/>
        <v>0</v>
      </c>
      <c r="G78" s="105">
        <f t="shared" si="16"/>
        <v>0</v>
      </c>
      <c r="H78" s="105">
        <f t="shared" si="16"/>
        <v>0</v>
      </c>
      <c r="I78" s="105">
        <f t="shared" si="16"/>
        <v>0</v>
      </c>
      <c r="J78" s="105">
        <f t="shared" si="16"/>
        <v>0</v>
      </c>
      <c r="K78" s="106">
        <f t="shared" si="16"/>
        <v>0</v>
      </c>
      <c r="L78" s="134">
        <f t="shared" si="7"/>
        <v>0</v>
      </c>
      <c r="M78" s="107" t="str">
        <f t="shared" si="8"/>
        <v/>
      </c>
      <c r="N78" s="28"/>
    </row>
    <row r="79" spans="1:14" ht="12.75" customHeight="1" x14ac:dyDescent="0.25">
      <c r="A79" s="108"/>
      <c r="B79" s="104">
        <f t="shared" si="14"/>
        <v>0</v>
      </c>
      <c r="C79" s="105">
        <f t="shared" si="14"/>
        <v>0</v>
      </c>
      <c r="D79" s="134">
        <f t="shared" si="5"/>
        <v>0</v>
      </c>
      <c r="E79" s="104">
        <f t="shared" ref="E79:K79" si="17">E45*10.764</f>
        <v>0</v>
      </c>
      <c r="F79" s="105">
        <f t="shared" si="17"/>
        <v>0</v>
      </c>
      <c r="G79" s="105">
        <f t="shared" si="17"/>
        <v>0</v>
      </c>
      <c r="H79" s="105">
        <f t="shared" si="17"/>
        <v>0</v>
      </c>
      <c r="I79" s="105">
        <f t="shared" si="17"/>
        <v>0</v>
      </c>
      <c r="J79" s="105">
        <f t="shared" si="17"/>
        <v>0</v>
      </c>
      <c r="K79" s="106">
        <f t="shared" si="17"/>
        <v>0</v>
      </c>
      <c r="L79" s="134">
        <f t="shared" si="7"/>
        <v>0</v>
      </c>
      <c r="M79" s="107" t="str">
        <f t="shared" si="8"/>
        <v/>
      </c>
      <c r="N79" s="28"/>
    </row>
    <row r="80" spans="1:14" ht="12.75" customHeight="1" x14ac:dyDescent="0.25">
      <c r="A80" s="108"/>
      <c r="B80" s="104">
        <f t="shared" si="14"/>
        <v>0</v>
      </c>
      <c r="C80" s="105">
        <f t="shared" si="14"/>
        <v>0</v>
      </c>
      <c r="D80" s="134">
        <f t="shared" si="5"/>
        <v>0</v>
      </c>
      <c r="E80" s="104">
        <f t="shared" ref="E80:K80" si="18">E46*10.764</f>
        <v>0</v>
      </c>
      <c r="F80" s="105">
        <f t="shared" si="18"/>
        <v>0</v>
      </c>
      <c r="G80" s="105">
        <f t="shared" si="18"/>
        <v>0</v>
      </c>
      <c r="H80" s="105">
        <f t="shared" si="18"/>
        <v>0</v>
      </c>
      <c r="I80" s="105">
        <f t="shared" si="18"/>
        <v>0</v>
      </c>
      <c r="J80" s="105">
        <f t="shared" si="18"/>
        <v>0</v>
      </c>
      <c r="K80" s="106">
        <f t="shared" si="18"/>
        <v>0</v>
      </c>
      <c r="L80" s="134">
        <f t="shared" si="7"/>
        <v>0</v>
      </c>
      <c r="M80" s="107" t="str">
        <f t="shared" si="8"/>
        <v/>
      </c>
      <c r="N80" s="28"/>
    </row>
    <row r="81" spans="1:14" ht="12.75" customHeight="1" x14ac:dyDescent="0.25">
      <c r="A81" s="108"/>
      <c r="B81" s="104">
        <f t="shared" si="14"/>
        <v>0</v>
      </c>
      <c r="C81" s="105">
        <f t="shared" si="14"/>
        <v>0</v>
      </c>
      <c r="D81" s="134">
        <f t="shared" si="5"/>
        <v>0</v>
      </c>
      <c r="E81" s="104">
        <f t="shared" ref="E81:K81" si="19">E47*10.764</f>
        <v>0</v>
      </c>
      <c r="F81" s="105">
        <f t="shared" si="19"/>
        <v>0</v>
      </c>
      <c r="G81" s="105">
        <f t="shared" si="19"/>
        <v>0</v>
      </c>
      <c r="H81" s="105">
        <f t="shared" si="19"/>
        <v>0</v>
      </c>
      <c r="I81" s="105">
        <f t="shared" si="19"/>
        <v>0</v>
      </c>
      <c r="J81" s="105">
        <f t="shared" si="19"/>
        <v>0</v>
      </c>
      <c r="K81" s="106">
        <f t="shared" si="19"/>
        <v>0</v>
      </c>
      <c r="L81" s="134">
        <f t="shared" si="7"/>
        <v>0</v>
      </c>
      <c r="M81" s="107" t="str">
        <f t="shared" si="8"/>
        <v/>
      </c>
      <c r="N81" s="28"/>
    </row>
    <row r="82" spans="1:14" ht="12.75" customHeight="1" x14ac:dyDescent="0.25">
      <c r="A82" s="108"/>
      <c r="B82" s="104">
        <f t="shared" si="14"/>
        <v>0</v>
      </c>
      <c r="C82" s="105">
        <f t="shared" si="14"/>
        <v>0</v>
      </c>
      <c r="D82" s="134">
        <f t="shared" si="5"/>
        <v>0</v>
      </c>
      <c r="E82" s="104">
        <f t="shared" ref="E82:K82" si="20">E48*10.764</f>
        <v>0</v>
      </c>
      <c r="F82" s="105">
        <f t="shared" si="20"/>
        <v>0</v>
      </c>
      <c r="G82" s="105">
        <f t="shared" si="20"/>
        <v>0</v>
      </c>
      <c r="H82" s="105">
        <f t="shared" si="20"/>
        <v>0</v>
      </c>
      <c r="I82" s="105">
        <f t="shared" si="20"/>
        <v>0</v>
      </c>
      <c r="J82" s="105">
        <f t="shared" si="20"/>
        <v>0</v>
      </c>
      <c r="K82" s="106">
        <f t="shared" si="20"/>
        <v>0</v>
      </c>
      <c r="L82" s="134">
        <f t="shared" si="7"/>
        <v>0</v>
      </c>
      <c r="M82" s="107" t="str">
        <f t="shared" si="8"/>
        <v/>
      </c>
      <c r="N82" s="28"/>
    </row>
    <row r="83" spans="1:14" ht="12.75" customHeight="1" x14ac:dyDescent="0.25">
      <c r="A83" s="108"/>
      <c r="B83" s="104">
        <f t="shared" si="14"/>
        <v>0</v>
      </c>
      <c r="C83" s="105">
        <f t="shared" si="14"/>
        <v>0</v>
      </c>
      <c r="D83" s="134">
        <f t="shared" si="5"/>
        <v>0</v>
      </c>
      <c r="E83" s="104">
        <f t="shared" ref="E83:K83" si="21">E49*10.764</f>
        <v>0</v>
      </c>
      <c r="F83" s="105">
        <f t="shared" si="21"/>
        <v>0</v>
      </c>
      <c r="G83" s="105">
        <f t="shared" si="21"/>
        <v>0</v>
      </c>
      <c r="H83" s="105">
        <f t="shared" si="21"/>
        <v>0</v>
      </c>
      <c r="I83" s="105">
        <f t="shared" si="21"/>
        <v>0</v>
      </c>
      <c r="J83" s="105">
        <f t="shared" si="21"/>
        <v>0</v>
      </c>
      <c r="K83" s="106">
        <f t="shared" si="21"/>
        <v>0</v>
      </c>
      <c r="L83" s="134">
        <f t="shared" si="7"/>
        <v>0</v>
      </c>
      <c r="M83" s="107" t="str">
        <f t="shared" si="8"/>
        <v/>
      </c>
      <c r="N83" s="28"/>
    </row>
    <row r="84" spans="1:14" ht="12.75" customHeight="1" x14ac:dyDescent="0.25">
      <c r="A84" s="108"/>
      <c r="B84" s="104">
        <f t="shared" si="14"/>
        <v>0</v>
      </c>
      <c r="C84" s="105">
        <f t="shared" si="14"/>
        <v>0</v>
      </c>
      <c r="D84" s="134">
        <f t="shared" si="5"/>
        <v>0</v>
      </c>
      <c r="E84" s="104">
        <f t="shared" ref="E84:K84" si="22">E50*10.764</f>
        <v>0</v>
      </c>
      <c r="F84" s="105">
        <f t="shared" si="22"/>
        <v>0</v>
      </c>
      <c r="G84" s="105">
        <f t="shared" si="22"/>
        <v>0</v>
      </c>
      <c r="H84" s="105">
        <f t="shared" si="22"/>
        <v>0</v>
      </c>
      <c r="I84" s="105">
        <f t="shared" si="22"/>
        <v>0</v>
      </c>
      <c r="J84" s="105">
        <f t="shared" si="22"/>
        <v>0</v>
      </c>
      <c r="K84" s="106">
        <f t="shared" si="22"/>
        <v>0</v>
      </c>
      <c r="L84" s="134">
        <f t="shared" si="7"/>
        <v>0</v>
      </c>
      <c r="M84" s="107" t="str">
        <f t="shared" si="8"/>
        <v/>
      </c>
      <c r="N84" s="28"/>
    </row>
    <row r="85" spans="1:14" ht="12.75" customHeight="1" x14ac:dyDescent="0.25">
      <c r="A85" s="108"/>
      <c r="B85" s="104">
        <f t="shared" si="14"/>
        <v>0</v>
      </c>
      <c r="C85" s="105">
        <f t="shared" si="14"/>
        <v>0</v>
      </c>
      <c r="D85" s="134">
        <f t="shared" si="5"/>
        <v>0</v>
      </c>
      <c r="E85" s="104">
        <f t="shared" ref="E85:K85" si="23">E51*10.764</f>
        <v>0</v>
      </c>
      <c r="F85" s="105">
        <f t="shared" si="23"/>
        <v>0</v>
      </c>
      <c r="G85" s="105">
        <f t="shared" si="23"/>
        <v>0</v>
      </c>
      <c r="H85" s="105">
        <f t="shared" si="23"/>
        <v>0</v>
      </c>
      <c r="I85" s="105">
        <f t="shared" si="23"/>
        <v>0</v>
      </c>
      <c r="J85" s="105">
        <f t="shared" si="23"/>
        <v>0</v>
      </c>
      <c r="K85" s="106">
        <f t="shared" si="23"/>
        <v>0</v>
      </c>
      <c r="L85" s="134">
        <f t="shared" si="7"/>
        <v>0</v>
      </c>
      <c r="M85" s="107" t="str">
        <f t="shared" si="8"/>
        <v/>
      </c>
      <c r="N85" s="28"/>
    </row>
    <row r="86" spans="1:14" ht="12.75" customHeight="1" x14ac:dyDescent="0.25">
      <c r="A86" s="108"/>
      <c r="B86" s="104">
        <f t="shared" si="14"/>
        <v>0</v>
      </c>
      <c r="C86" s="105">
        <f t="shared" si="14"/>
        <v>0</v>
      </c>
      <c r="D86" s="134">
        <f t="shared" si="5"/>
        <v>0</v>
      </c>
      <c r="E86" s="104">
        <f t="shared" ref="E86:K86" si="24">E52*10.764</f>
        <v>0</v>
      </c>
      <c r="F86" s="105">
        <f t="shared" si="24"/>
        <v>0</v>
      </c>
      <c r="G86" s="105">
        <f t="shared" si="24"/>
        <v>0</v>
      </c>
      <c r="H86" s="105">
        <f t="shared" si="24"/>
        <v>0</v>
      </c>
      <c r="I86" s="105">
        <f t="shared" si="24"/>
        <v>0</v>
      </c>
      <c r="J86" s="105">
        <f t="shared" si="24"/>
        <v>0</v>
      </c>
      <c r="K86" s="106">
        <f t="shared" si="24"/>
        <v>0</v>
      </c>
      <c r="L86" s="134">
        <f t="shared" si="7"/>
        <v>0</v>
      </c>
      <c r="M86" s="107" t="str">
        <f t="shared" si="8"/>
        <v/>
      </c>
      <c r="N86" s="28"/>
    </row>
    <row r="87" spans="1:14" ht="12.75" customHeight="1" x14ac:dyDescent="0.25">
      <c r="A87" s="108"/>
      <c r="B87" s="104">
        <f t="shared" si="14"/>
        <v>0</v>
      </c>
      <c r="C87" s="105">
        <f t="shared" si="14"/>
        <v>0</v>
      </c>
      <c r="D87" s="134">
        <f t="shared" si="5"/>
        <v>0</v>
      </c>
      <c r="E87" s="104">
        <f t="shared" ref="E87:K87" si="25">E53*10.764</f>
        <v>0</v>
      </c>
      <c r="F87" s="105">
        <f t="shared" si="25"/>
        <v>0</v>
      </c>
      <c r="G87" s="105">
        <f t="shared" si="25"/>
        <v>0</v>
      </c>
      <c r="H87" s="105">
        <f t="shared" si="25"/>
        <v>0</v>
      </c>
      <c r="I87" s="105">
        <f t="shared" si="25"/>
        <v>0</v>
      </c>
      <c r="J87" s="105">
        <f t="shared" si="25"/>
        <v>0</v>
      </c>
      <c r="K87" s="106">
        <f t="shared" si="25"/>
        <v>0</v>
      </c>
      <c r="L87" s="134">
        <f t="shared" si="7"/>
        <v>0</v>
      </c>
      <c r="M87" s="107" t="str">
        <f t="shared" si="8"/>
        <v/>
      </c>
      <c r="N87" s="28"/>
    </row>
    <row r="88" spans="1:14" ht="12.75" customHeight="1" x14ac:dyDescent="0.25">
      <c r="A88" s="108"/>
      <c r="B88" s="104">
        <f t="shared" si="14"/>
        <v>0</v>
      </c>
      <c r="C88" s="105">
        <f t="shared" si="14"/>
        <v>0</v>
      </c>
      <c r="D88" s="134">
        <f t="shared" si="5"/>
        <v>0</v>
      </c>
      <c r="E88" s="104">
        <f t="shared" ref="E88:K88" si="26">E54*10.764</f>
        <v>0</v>
      </c>
      <c r="F88" s="105">
        <f t="shared" si="26"/>
        <v>0</v>
      </c>
      <c r="G88" s="105">
        <f t="shared" si="26"/>
        <v>0</v>
      </c>
      <c r="H88" s="105">
        <f t="shared" si="26"/>
        <v>0</v>
      </c>
      <c r="I88" s="105">
        <f t="shared" si="26"/>
        <v>0</v>
      </c>
      <c r="J88" s="105">
        <f t="shared" si="26"/>
        <v>0</v>
      </c>
      <c r="K88" s="106">
        <f t="shared" si="26"/>
        <v>0</v>
      </c>
      <c r="L88" s="134">
        <f t="shared" si="7"/>
        <v>0</v>
      </c>
      <c r="M88" s="107" t="str">
        <f t="shared" si="8"/>
        <v/>
      </c>
      <c r="N88" s="28"/>
    </row>
    <row r="89" spans="1:14" ht="12.75" customHeight="1" x14ac:dyDescent="0.25">
      <c r="A89" s="108"/>
      <c r="B89" s="104">
        <f t="shared" si="14"/>
        <v>0</v>
      </c>
      <c r="C89" s="105">
        <f t="shared" si="14"/>
        <v>0</v>
      </c>
      <c r="D89" s="134">
        <f t="shared" si="5"/>
        <v>0</v>
      </c>
      <c r="E89" s="104">
        <f t="shared" ref="E89:K89" si="27">E55*10.764</f>
        <v>0</v>
      </c>
      <c r="F89" s="105">
        <f t="shared" si="27"/>
        <v>0</v>
      </c>
      <c r="G89" s="105">
        <f t="shared" si="27"/>
        <v>0</v>
      </c>
      <c r="H89" s="105">
        <f t="shared" si="27"/>
        <v>0</v>
      </c>
      <c r="I89" s="105">
        <f t="shared" si="27"/>
        <v>0</v>
      </c>
      <c r="J89" s="105">
        <f t="shared" si="27"/>
        <v>0</v>
      </c>
      <c r="K89" s="106">
        <f t="shared" si="27"/>
        <v>0</v>
      </c>
      <c r="L89" s="134">
        <f t="shared" si="7"/>
        <v>0</v>
      </c>
      <c r="M89" s="107" t="str">
        <f t="shared" si="8"/>
        <v/>
      </c>
      <c r="N89" s="28"/>
    </row>
    <row r="90" spans="1:14" ht="12.75" customHeight="1" x14ac:dyDescent="0.25">
      <c r="A90" s="108"/>
      <c r="B90" s="104">
        <f t="shared" si="14"/>
        <v>0</v>
      </c>
      <c r="C90" s="105">
        <f t="shared" si="14"/>
        <v>0</v>
      </c>
      <c r="D90" s="134">
        <f t="shared" si="5"/>
        <v>0</v>
      </c>
      <c r="E90" s="104"/>
      <c r="F90" s="105">
        <f t="shared" ref="F90:K90" si="28">F56*10.764</f>
        <v>0</v>
      </c>
      <c r="G90" s="105">
        <f t="shared" si="28"/>
        <v>0</v>
      </c>
      <c r="H90" s="105">
        <f t="shared" si="28"/>
        <v>0</v>
      </c>
      <c r="I90" s="105">
        <f t="shared" si="28"/>
        <v>0</v>
      </c>
      <c r="J90" s="105">
        <f t="shared" si="28"/>
        <v>0</v>
      </c>
      <c r="K90" s="106">
        <f t="shared" si="28"/>
        <v>0</v>
      </c>
      <c r="L90" s="134">
        <f t="shared" si="7"/>
        <v>0</v>
      </c>
      <c r="M90" s="107" t="str">
        <f t="shared" si="8"/>
        <v/>
      </c>
      <c r="N90" s="28"/>
    </row>
    <row r="91" spans="1:14" ht="12.75" customHeight="1" x14ac:dyDescent="0.25">
      <c r="A91" s="108"/>
      <c r="B91" s="104">
        <f t="shared" si="14"/>
        <v>0</v>
      </c>
      <c r="C91" s="105">
        <f t="shared" si="14"/>
        <v>0</v>
      </c>
      <c r="D91" s="134">
        <f t="shared" si="5"/>
        <v>0</v>
      </c>
      <c r="E91" s="104">
        <f t="shared" ref="E91:K91" si="29">E57*10.764</f>
        <v>0</v>
      </c>
      <c r="F91" s="105">
        <f t="shared" si="29"/>
        <v>0</v>
      </c>
      <c r="G91" s="105">
        <f t="shared" si="29"/>
        <v>0</v>
      </c>
      <c r="H91" s="105">
        <f t="shared" si="29"/>
        <v>0</v>
      </c>
      <c r="I91" s="105">
        <f t="shared" si="29"/>
        <v>0</v>
      </c>
      <c r="J91" s="105">
        <f t="shared" si="29"/>
        <v>0</v>
      </c>
      <c r="K91" s="106">
        <f t="shared" si="29"/>
        <v>0</v>
      </c>
      <c r="L91" s="134">
        <f t="shared" si="7"/>
        <v>0</v>
      </c>
      <c r="M91" s="107" t="str">
        <f t="shared" si="8"/>
        <v/>
      </c>
      <c r="N91" s="28"/>
    </row>
    <row r="92" spans="1:14" ht="12.75" customHeight="1" x14ac:dyDescent="0.25">
      <c r="A92" s="108"/>
      <c r="B92" s="104">
        <f t="shared" si="14"/>
        <v>0</v>
      </c>
      <c r="C92" s="105">
        <f t="shared" si="14"/>
        <v>0</v>
      </c>
      <c r="D92" s="134">
        <f t="shared" si="5"/>
        <v>0</v>
      </c>
      <c r="E92" s="104">
        <f t="shared" ref="E92:K92" si="30">E58*10.764</f>
        <v>0</v>
      </c>
      <c r="F92" s="105">
        <f t="shared" si="30"/>
        <v>0</v>
      </c>
      <c r="G92" s="105">
        <f t="shared" si="30"/>
        <v>0</v>
      </c>
      <c r="H92" s="105">
        <f t="shared" si="30"/>
        <v>0</v>
      </c>
      <c r="I92" s="105">
        <f t="shared" si="30"/>
        <v>0</v>
      </c>
      <c r="J92" s="105">
        <f t="shared" si="30"/>
        <v>0</v>
      </c>
      <c r="K92" s="106">
        <f t="shared" si="30"/>
        <v>0</v>
      </c>
      <c r="L92" s="134">
        <f t="shared" si="7"/>
        <v>0</v>
      </c>
      <c r="M92" s="107" t="str">
        <f t="shared" si="8"/>
        <v/>
      </c>
      <c r="N92" s="28"/>
    </row>
    <row r="93" spans="1:14" ht="12.75" customHeight="1" x14ac:dyDescent="0.25">
      <c r="A93" s="108"/>
      <c r="B93" s="104">
        <f t="shared" si="14"/>
        <v>0</v>
      </c>
      <c r="C93" s="105">
        <f t="shared" si="14"/>
        <v>0</v>
      </c>
      <c r="D93" s="134">
        <f t="shared" si="5"/>
        <v>0</v>
      </c>
      <c r="E93" s="104">
        <f t="shared" ref="E93:K93" si="31">E59*10.764</f>
        <v>0</v>
      </c>
      <c r="F93" s="105">
        <f t="shared" si="31"/>
        <v>0</v>
      </c>
      <c r="G93" s="105">
        <f t="shared" si="31"/>
        <v>0</v>
      </c>
      <c r="H93" s="105">
        <f t="shared" si="31"/>
        <v>0</v>
      </c>
      <c r="I93" s="105">
        <f t="shared" si="31"/>
        <v>0</v>
      </c>
      <c r="J93" s="105">
        <f t="shared" si="31"/>
        <v>0</v>
      </c>
      <c r="K93" s="106">
        <f t="shared" si="31"/>
        <v>0</v>
      </c>
      <c r="L93" s="134">
        <f t="shared" si="7"/>
        <v>0</v>
      </c>
      <c r="M93" s="107" t="str">
        <f t="shared" si="8"/>
        <v/>
      </c>
      <c r="N93" s="28"/>
    </row>
    <row r="94" spans="1:14" ht="12.75" customHeight="1" x14ac:dyDescent="0.25">
      <c r="A94" s="108"/>
      <c r="B94" s="104">
        <f t="shared" si="14"/>
        <v>0</v>
      </c>
      <c r="C94" s="105">
        <f t="shared" si="14"/>
        <v>0</v>
      </c>
      <c r="D94" s="134">
        <f t="shared" si="5"/>
        <v>0</v>
      </c>
      <c r="E94" s="104">
        <f t="shared" ref="E94:K94" si="32">E60*10.764</f>
        <v>0</v>
      </c>
      <c r="F94" s="105">
        <f t="shared" si="32"/>
        <v>0</v>
      </c>
      <c r="G94" s="105">
        <f t="shared" si="32"/>
        <v>0</v>
      </c>
      <c r="H94" s="105">
        <f t="shared" si="32"/>
        <v>0</v>
      </c>
      <c r="I94" s="105">
        <f t="shared" si="32"/>
        <v>0</v>
      </c>
      <c r="J94" s="105">
        <f t="shared" si="32"/>
        <v>0</v>
      </c>
      <c r="K94" s="106">
        <f t="shared" si="32"/>
        <v>0</v>
      </c>
      <c r="L94" s="134">
        <f t="shared" si="7"/>
        <v>0</v>
      </c>
      <c r="M94" s="107" t="str">
        <f t="shared" si="8"/>
        <v/>
      </c>
      <c r="N94" s="28"/>
    </row>
    <row r="95" spans="1:14" ht="12.75" customHeight="1" thickBot="1" x14ac:dyDescent="0.3">
      <c r="A95" s="117"/>
      <c r="B95" s="104">
        <f t="shared" si="14"/>
        <v>0</v>
      </c>
      <c r="C95" s="105">
        <f t="shared" si="14"/>
        <v>0</v>
      </c>
      <c r="D95" s="134">
        <f t="shared" si="5"/>
        <v>0</v>
      </c>
      <c r="E95" s="104">
        <f t="shared" ref="E95:K95" si="33">E61*10.764</f>
        <v>0</v>
      </c>
      <c r="F95" s="105">
        <f t="shared" si="33"/>
        <v>0</v>
      </c>
      <c r="G95" s="105">
        <f t="shared" si="33"/>
        <v>0</v>
      </c>
      <c r="H95" s="105">
        <f t="shared" si="33"/>
        <v>0</v>
      </c>
      <c r="I95" s="105">
        <f t="shared" si="33"/>
        <v>0</v>
      </c>
      <c r="J95" s="105">
        <f t="shared" si="33"/>
        <v>0</v>
      </c>
      <c r="K95" s="106">
        <f t="shared" si="33"/>
        <v>0</v>
      </c>
      <c r="L95" s="134">
        <f t="shared" si="7"/>
        <v>0</v>
      </c>
      <c r="M95" s="107" t="str">
        <f t="shared" si="8"/>
        <v/>
      </c>
      <c r="N95" s="28"/>
    </row>
    <row r="96" spans="1:14" ht="12.75" customHeight="1" thickBot="1" x14ac:dyDescent="0.3">
      <c r="A96" s="136" t="s">
        <v>28</v>
      </c>
      <c r="B96" s="137">
        <f>SUM(B71:B95)</f>
        <v>0</v>
      </c>
      <c r="C96" s="138">
        <f>SUM(C71:C95)</f>
        <v>0</v>
      </c>
      <c r="D96" s="135">
        <f>SUM(D71:D95)</f>
        <v>0</v>
      </c>
      <c r="E96" s="138">
        <f>SUM(E71:E95)</f>
        <v>0</v>
      </c>
      <c r="F96" s="138">
        <f>SUM(F71:F95)</f>
        <v>0</v>
      </c>
      <c r="G96" s="138">
        <f t="shared" ref="G96:L96" si="34">SUM(G71:G95)</f>
        <v>0</v>
      </c>
      <c r="H96" s="138">
        <f t="shared" si="34"/>
        <v>0</v>
      </c>
      <c r="I96" s="138">
        <f t="shared" si="34"/>
        <v>0</v>
      </c>
      <c r="J96" s="138">
        <f t="shared" si="34"/>
        <v>0</v>
      </c>
      <c r="K96" s="139">
        <f t="shared" si="34"/>
        <v>0</v>
      </c>
      <c r="L96" s="135">
        <f t="shared" si="34"/>
        <v>0</v>
      </c>
      <c r="M96" s="140" t="str">
        <f t="shared" si="8"/>
        <v/>
      </c>
      <c r="N96" s="28"/>
    </row>
    <row r="97" spans="1:14" ht="12.75" customHeight="1" x14ac:dyDescent="0.25">
      <c r="A97" s="28"/>
      <c r="B97" s="28"/>
      <c r="C97" s="28"/>
      <c r="D97" s="28"/>
      <c r="E97" s="28"/>
      <c r="F97" s="28"/>
      <c r="G97" s="28"/>
      <c r="H97" s="28"/>
      <c r="I97" s="28"/>
      <c r="J97" s="28"/>
      <c r="K97" s="28"/>
      <c r="L97" s="28"/>
      <c r="M97" s="28"/>
      <c r="N97" s="28"/>
    </row>
    <row r="98" spans="1:14" ht="12.75" customHeight="1" x14ac:dyDescent="0.25">
      <c r="A98" s="43" t="s">
        <v>143</v>
      </c>
      <c r="B98" s="28"/>
      <c r="C98" s="28"/>
      <c r="D98" s="28"/>
      <c r="E98" s="28"/>
      <c r="F98" s="28"/>
      <c r="G98" s="28"/>
      <c r="H98" s="28"/>
      <c r="I98" s="28"/>
      <c r="J98" s="28"/>
      <c r="K98" s="28"/>
      <c r="L98" s="28"/>
      <c r="M98" s="28"/>
      <c r="N98" s="28"/>
    </row>
    <row r="99" spans="1:14" ht="12.75" customHeight="1" x14ac:dyDescent="0.25">
      <c r="A99" s="43"/>
      <c r="B99" s="28"/>
      <c r="C99" s="28"/>
      <c r="D99" s="28"/>
      <c r="E99" s="28"/>
      <c r="F99" s="28"/>
      <c r="G99" s="28"/>
      <c r="H99" s="28"/>
      <c r="I99" s="28"/>
      <c r="J99" s="28"/>
      <c r="K99" s="28"/>
      <c r="L99" s="28"/>
      <c r="M99" s="28"/>
      <c r="N99" s="28"/>
    </row>
    <row r="100" spans="1:14" ht="12.75" customHeight="1" x14ac:dyDescent="0.25">
      <c r="A100" s="28"/>
      <c r="B100" s="28"/>
      <c r="C100" s="28"/>
      <c r="D100" s="28"/>
      <c r="E100" s="28"/>
      <c r="F100" s="28"/>
      <c r="G100" s="28"/>
      <c r="H100" s="28"/>
      <c r="I100" s="28"/>
      <c r="J100" s="28"/>
      <c r="K100" s="28"/>
      <c r="L100" s="28"/>
      <c r="M100" s="28"/>
      <c r="N100" s="28"/>
    </row>
    <row r="101" spans="1:14" ht="12.75" customHeight="1" x14ac:dyDescent="0.25">
      <c r="A101" s="83"/>
      <c r="B101" s="83"/>
      <c r="C101" s="83"/>
      <c r="D101" s="83"/>
      <c r="E101" s="83"/>
      <c r="F101" s="83"/>
      <c r="G101" s="83"/>
      <c r="H101" s="83"/>
      <c r="I101" s="83"/>
      <c r="J101" s="83"/>
      <c r="K101" s="83"/>
      <c r="L101" s="83"/>
      <c r="M101" s="83"/>
      <c r="N101" s="83"/>
    </row>
  </sheetData>
  <customSheetViews>
    <customSheetView guid="{2B0692CF-4177-422C-A620-ABA6158FDE4D}" showPageBreaks="1" printArea="1" state="hidden" view="pageBreakPreview" topLeftCell="A61">
      <selection activeCell="T23" sqref="T23"/>
      <rowBreaks count="2" manualBreakCount="2">
        <brk id="31" max="13" man="1"/>
        <brk id="65" max="13" man="1"/>
      </rowBreaks>
      <pageMargins left="0.62992125984251968" right="0.55118110236220474" top="1.1023622047244095" bottom="0.70866141732283472" header="0" footer="0.15748031496062992"/>
      <pageSetup paperSize="9" orientation="landscape" cellComments="asDisplayed" r:id="rId1"/>
      <headerFooter alignWithMargins="0">
        <oddHeader xml:space="preserve">&amp;L&amp;"Arial,Bold"&amp;7Davis Langdon, An AECOM Company&amp;R&amp;7page &amp;P of &amp;N-1&amp;9 </oddHeader>
        <oddFooter>&amp;L&amp;"Arial,Bold"&amp;7Programe, Cost, Consultancy&amp;"Arial,Regular"
www.davislangdon.com
www.aecom.com</oddFooter>
      </headerFooter>
    </customSheetView>
    <customSheetView guid="{6C33A4D3-AF33-443C-A522-C1A990C51A36}" showPageBreaks="1" printArea="1" state="hidden" view="pageBreakPreview" topLeftCell="A61">
      <selection activeCell="T23" sqref="T23"/>
      <rowBreaks count="2" manualBreakCount="2">
        <brk id="31" max="13" man="1"/>
        <brk id="65" max="13" man="1"/>
      </rowBreaks>
      <pageMargins left="0.62992125984251968" right="0.55118110236220474" top="1.1023622047244095" bottom="0.70866141732283472" header="0" footer="0.15748031496062992"/>
      <pageSetup paperSize="9" orientation="landscape" cellComments="asDisplayed" r:id="rId2"/>
      <headerFooter alignWithMargins="0">
        <oddHeader xml:space="preserve">&amp;L&amp;"Arial,Bold"&amp;7Davis Langdon, An AECOM Company&amp;R&amp;7page &amp;P of &amp;N-1&amp;9 </oddHeader>
        <oddFooter>&amp;L&amp;"Arial,Bold"&amp;7Programe, Cost, Consultancy&amp;"Arial,Regular"
www.davislangdon.com
www.aecom.com</oddFooter>
      </headerFooter>
    </customSheetView>
  </customSheetViews>
  <mergeCells count="1">
    <mergeCell ref="B14:M14"/>
  </mergeCells>
  <phoneticPr fontId="4" type="noConversion"/>
  <pageMargins left="0.62992125984251968" right="0.55118110236220474" top="1.1023622047244095" bottom="0.70866141732283472" header="0" footer="0.15748031496062992"/>
  <pageSetup paperSize="9" orientation="landscape" cellComments="asDisplayed" r:id="rId3"/>
  <headerFooter alignWithMargins="0">
    <oddHeader xml:space="preserve">&amp;L&amp;"Arial,Bold"&amp;7Davis Langdon, An AECOM Company&amp;R&amp;7page &amp;P of &amp;N-1&amp;9 </oddHeader>
    <oddFooter>&amp;L&amp;"Arial,Bold"&amp;7Programe, Cost, Consultancy&amp;"Arial,Regular"
www.davislangdon.com
www.aecom.com</oddFooter>
  </headerFooter>
  <rowBreaks count="2" manualBreakCount="2">
    <brk id="31" max="13" man="1"/>
    <brk id="65" max="1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indexed="22"/>
  </sheetPr>
  <dimension ref="A1:K38"/>
  <sheetViews>
    <sheetView view="pageBreakPreview" zoomScaleNormal="100" zoomScaleSheetLayoutView="100" workbookViewId="0">
      <selection activeCell="T23" sqref="T23"/>
    </sheetView>
  </sheetViews>
  <sheetFormatPr defaultColWidth="9" defaultRowHeight="11.5" x14ac:dyDescent="0.25"/>
  <cols>
    <col min="1" max="1" width="6" style="10" bestFit="1" customWidth="1"/>
    <col min="2" max="2" width="4.1640625" style="10" customWidth="1"/>
    <col min="3" max="3" width="6.08203125" style="10" customWidth="1"/>
    <col min="4" max="4" width="9.08203125" style="10" bestFit="1" customWidth="1"/>
    <col min="5" max="5" width="10.5" style="10" bestFit="1" customWidth="1"/>
    <col min="6" max="7" width="9.08203125" style="10" bestFit="1" customWidth="1"/>
    <col min="8" max="8" width="9" style="10"/>
    <col min="9" max="9" width="12.6640625" style="10" customWidth="1"/>
    <col min="10" max="10" width="5.83203125" style="10" bestFit="1" customWidth="1"/>
    <col min="11" max="16" width="9" style="10"/>
    <col min="17" max="17" width="12.1640625" style="10" bestFit="1" customWidth="1"/>
    <col min="18" max="16384" width="9" style="10"/>
  </cols>
  <sheetData>
    <row r="1" spans="1:11" ht="19" x14ac:dyDescent="0.4">
      <c r="A1" s="207" t="s">
        <v>150</v>
      </c>
      <c r="B1" s="206" t="s">
        <v>105</v>
      </c>
      <c r="D1" s="12"/>
      <c r="E1" s="11"/>
      <c r="F1" s="12"/>
      <c r="G1" s="12"/>
    </row>
    <row r="2" spans="1:11" x14ac:dyDescent="0.25">
      <c r="B2" s="8"/>
      <c r="D2" s="9"/>
      <c r="E2" s="14"/>
      <c r="F2" s="9"/>
      <c r="G2" s="9"/>
    </row>
    <row r="3" spans="1:11" x14ac:dyDescent="0.25">
      <c r="B3" s="14" t="s">
        <v>106</v>
      </c>
      <c r="D3" s="13"/>
      <c r="E3" s="14"/>
      <c r="F3" s="13"/>
      <c r="G3" s="13"/>
      <c r="I3" s="20" t="s">
        <v>124</v>
      </c>
      <c r="J3" s="21">
        <v>39479</v>
      </c>
      <c r="K3" s="22"/>
    </row>
    <row r="4" spans="1:11" x14ac:dyDescent="0.25">
      <c r="B4" s="14"/>
      <c r="C4" s="14"/>
      <c r="D4" s="13"/>
      <c r="E4" s="14"/>
      <c r="F4" s="13"/>
      <c r="G4" s="13"/>
      <c r="I4" s="23" t="s">
        <v>125</v>
      </c>
      <c r="J4" s="25">
        <v>39722</v>
      </c>
      <c r="K4" s="22"/>
    </row>
    <row r="5" spans="1:11" x14ac:dyDescent="0.25">
      <c r="B5" s="208" t="s">
        <v>107</v>
      </c>
      <c r="C5" s="208"/>
      <c r="D5" s="1309" t="s">
        <v>108</v>
      </c>
      <c r="E5" s="1310"/>
      <c r="F5" s="13"/>
      <c r="G5" s="13"/>
      <c r="K5" s="15"/>
    </row>
    <row r="6" spans="1:11" ht="23" x14ac:dyDescent="0.25">
      <c r="B6" s="219" t="s">
        <v>109</v>
      </c>
      <c r="C6" s="219" t="s">
        <v>110</v>
      </c>
      <c r="D6" s="220" t="s">
        <v>112</v>
      </c>
      <c r="E6" s="220" t="s">
        <v>111</v>
      </c>
      <c r="F6" s="13"/>
      <c r="G6" s="13"/>
    </row>
    <row r="7" spans="1:11" x14ac:dyDescent="0.25">
      <c r="B7" s="209">
        <v>1</v>
      </c>
      <c r="C7" s="210">
        <f>J3</f>
        <v>39479</v>
      </c>
      <c r="D7" s="211">
        <v>15000</v>
      </c>
      <c r="E7" s="212">
        <f>IF(D7="","",D7)</f>
        <v>15000</v>
      </c>
      <c r="F7" s="13"/>
      <c r="G7" s="13"/>
    </row>
    <row r="8" spans="1:11" x14ac:dyDescent="0.25">
      <c r="B8" s="213">
        <f>IF(C8="","",B7+1)</f>
        <v>2</v>
      </c>
      <c r="C8" s="18">
        <f t="shared" ref="C8:C37" si="0">IF(C7&gt;=$J$4,"",DATE(YEAR(C7),MONTH(C7)+1,DAY(C7)))</f>
        <v>39508</v>
      </c>
      <c r="D8" s="19">
        <v>15000</v>
      </c>
      <c r="E8" s="214">
        <f t="shared" ref="E8:E37" si="1">IF(D8="",NA(),E7+D8)</f>
        <v>30000</v>
      </c>
      <c r="F8" s="13"/>
      <c r="G8" s="13"/>
    </row>
    <row r="9" spans="1:11" x14ac:dyDescent="0.25">
      <c r="B9" s="213">
        <f t="shared" ref="B9:B36" si="2">IF(C9="","",B8+1)</f>
        <v>3</v>
      </c>
      <c r="C9" s="18">
        <f t="shared" si="0"/>
        <v>39539</v>
      </c>
      <c r="D9" s="19">
        <v>14000</v>
      </c>
      <c r="E9" s="214">
        <f t="shared" si="1"/>
        <v>44000</v>
      </c>
      <c r="F9" s="13"/>
      <c r="G9" s="13"/>
    </row>
    <row r="10" spans="1:11" x14ac:dyDescent="0.25">
      <c r="B10" s="213">
        <f t="shared" si="2"/>
        <v>4</v>
      </c>
      <c r="C10" s="18">
        <f t="shared" si="0"/>
        <v>39569</v>
      </c>
      <c r="D10" s="19">
        <v>18000</v>
      </c>
      <c r="E10" s="214">
        <f t="shared" si="1"/>
        <v>62000</v>
      </c>
      <c r="F10" s="13"/>
      <c r="G10" s="13"/>
    </row>
    <row r="11" spans="1:11" x14ac:dyDescent="0.25">
      <c r="B11" s="213">
        <f t="shared" si="2"/>
        <v>5</v>
      </c>
      <c r="C11" s="18">
        <f t="shared" si="0"/>
        <v>39600</v>
      </c>
      <c r="D11" s="19">
        <v>18000</v>
      </c>
      <c r="E11" s="214">
        <f t="shared" si="1"/>
        <v>80000</v>
      </c>
      <c r="F11" s="13"/>
      <c r="G11" s="13"/>
    </row>
    <row r="12" spans="1:11" x14ac:dyDescent="0.25">
      <c r="B12" s="213">
        <f t="shared" si="2"/>
        <v>6</v>
      </c>
      <c r="C12" s="18">
        <f t="shared" si="0"/>
        <v>39630</v>
      </c>
      <c r="D12" s="19">
        <v>17000</v>
      </c>
      <c r="E12" s="214">
        <f t="shared" si="1"/>
        <v>97000</v>
      </c>
      <c r="F12" s="13"/>
      <c r="G12" s="13"/>
    </row>
    <row r="13" spans="1:11" x14ac:dyDescent="0.25">
      <c r="B13" s="213">
        <f t="shared" si="2"/>
        <v>7</v>
      </c>
      <c r="C13" s="18">
        <f t="shared" si="0"/>
        <v>39661</v>
      </c>
      <c r="D13" s="19">
        <v>12500</v>
      </c>
      <c r="E13" s="214">
        <f t="shared" si="1"/>
        <v>109500</v>
      </c>
      <c r="F13" s="13"/>
      <c r="G13" s="13"/>
    </row>
    <row r="14" spans="1:11" x14ac:dyDescent="0.25">
      <c r="B14" s="213">
        <f t="shared" si="2"/>
        <v>8</v>
      </c>
      <c r="C14" s="18">
        <f t="shared" si="0"/>
        <v>39692</v>
      </c>
      <c r="D14" s="19">
        <v>10000</v>
      </c>
      <c r="E14" s="214">
        <f t="shared" si="1"/>
        <v>119500</v>
      </c>
      <c r="F14" s="13"/>
      <c r="G14" s="13"/>
    </row>
    <row r="15" spans="1:11" x14ac:dyDescent="0.25">
      <c r="B15" s="213">
        <f t="shared" si="2"/>
        <v>9</v>
      </c>
      <c r="C15" s="18">
        <f t="shared" si="0"/>
        <v>39722</v>
      </c>
      <c r="D15" s="19">
        <v>4500</v>
      </c>
      <c r="E15" s="214">
        <f t="shared" si="1"/>
        <v>124000</v>
      </c>
      <c r="F15" s="13"/>
      <c r="G15" s="13"/>
    </row>
    <row r="16" spans="1:11" x14ac:dyDescent="0.25">
      <c r="B16" s="213" t="str">
        <f t="shared" si="2"/>
        <v/>
      </c>
      <c r="C16" s="18" t="str">
        <f t="shared" si="0"/>
        <v/>
      </c>
      <c r="D16" s="19"/>
      <c r="E16" s="214" t="e">
        <f t="shared" si="1"/>
        <v>#N/A</v>
      </c>
      <c r="F16" s="13"/>
      <c r="G16" s="13"/>
    </row>
    <row r="17" spans="2:7" x14ac:dyDescent="0.25">
      <c r="B17" s="213" t="str">
        <f t="shared" si="2"/>
        <v/>
      </c>
      <c r="C17" s="18" t="str">
        <f t="shared" si="0"/>
        <v/>
      </c>
      <c r="D17" s="19"/>
      <c r="E17" s="214" t="e">
        <f t="shared" si="1"/>
        <v>#N/A</v>
      </c>
      <c r="F17" s="13"/>
      <c r="G17" s="13"/>
    </row>
    <row r="18" spans="2:7" x14ac:dyDescent="0.25">
      <c r="B18" s="213" t="str">
        <f t="shared" si="2"/>
        <v/>
      </c>
      <c r="C18" s="18" t="str">
        <f t="shared" si="0"/>
        <v/>
      </c>
      <c r="D18" s="19"/>
      <c r="E18" s="214" t="e">
        <f t="shared" si="1"/>
        <v>#N/A</v>
      </c>
      <c r="F18" s="13"/>
      <c r="G18" s="13"/>
    </row>
    <row r="19" spans="2:7" x14ac:dyDescent="0.25">
      <c r="B19" s="213" t="str">
        <f t="shared" si="2"/>
        <v/>
      </c>
      <c r="C19" s="18" t="str">
        <f t="shared" si="0"/>
        <v/>
      </c>
      <c r="D19" s="19"/>
      <c r="E19" s="214" t="e">
        <f t="shared" si="1"/>
        <v>#N/A</v>
      </c>
      <c r="F19" s="13"/>
      <c r="G19" s="13"/>
    </row>
    <row r="20" spans="2:7" x14ac:dyDescent="0.25">
      <c r="B20" s="213" t="str">
        <f t="shared" si="2"/>
        <v/>
      </c>
      <c r="C20" s="18" t="str">
        <f t="shared" si="0"/>
        <v/>
      </c>
      <c r="D20" s="19"/>
      <c r="E20" s="214" t="e">
        <f t="shared" si="1"/>
        <v>#N/A</v>
      </c>
      <c r="F20" s="13"/>
      <c r="G20" s="13"/>
    </row>
    <row r="21" spans="2:7" x14ac:dyDescent="0.25">
      <c r="B21" s="213" t="str">
        <f t="shared" si="2"/>
        <v/>
      </c>
      <c r="C21" s="18" t="str">
        <f t="shared" si="0"/>
        <v/>
      </c>
      <c r="D21" s="19"/>
      <c r="E21" s="214" t="e">
        <f t="shared" si="1"/>
        <v>#N/A</v>
      </c>
      <c r="F21" s="13"/>
      <c r="G21" s="13"/>
    </row>
    <row r="22" spans="2:7" x14ac:dyDescent="0.25">
      <c r="B22" s="213" t="str">
        <f t="shared" si="2"/>
        <v/>
      </c>
      <c r="C22" s="18" t="str">
        <f t="shared" si="0"/>
        <v/>
      </c>
      <c r="D22" s="19"/>
      <c r="E22" s="214" t="e">
        <f t="shared" si="1"/>
        <v>#N/A</v>
      </c>
      <c r="F22" s="13"/>
      <c r="G22" s="13"/>
    </row>
    <row r="23" spans="2:7" x14ac:dyDescent="0.25">
      <c r="B23" s="213" t="str">
        <f t="shared" si="2"/>
        <v/>
      </c>
      <c r="C23" s="18" t="str">
        <f t="shared" si="0"/>
        <v/>
      </c>
      <c r="D23" s="19"/>
      <c r="E23" s="214" t="e">
        <f t="shared" si="1"/>
        <v>#N/A</v>
      </c>
      <c r="F23" s="13"/>
      <c r="G23" s="13"/>
    </row>
    <row r="24" spans="2:7" x14ac:dyDescent="0.25">
      <c r="B24" s="213" t="str">
        <f t="shared" si="2"/>
        <v/>
      </c>
      <c r="C24" s="18" t="str">
        <f t="shared" si="0"/>
        <v/>
      </c>
      <c r="D24" s="19"/>
      <c r="E24" s="214" t="e">
        <f t="shared" si="1"/>
        <v>#N/A</v>
      </c>
      <c r="F24" s="13"/>
      <c r="G24" s="13"/>
    </row>
    <row r="25" spans="2:7" x14ac:dyDescent="0.25">
      <c r="B25" s="213" t="str">
        <f t="shared" si="2"/>
        <v/>
      </c>
      <c r="C25" s="18" t="str">
        <f t="shared" si="0"/>
        <v/>
      </c>
      <c r="D25" s="19"/>
      <c r="E25" s="214" t="e">
        <f t="shared" si="1"/>
        <v>#N/A</v>
      </c>
      <c r="F25" s="13"/>
      <c r="G25" s="13"/>
    </row>
    <row r="26" spans="2:7" x14ac:dyDescent="0.25">
      <c r="B26" s="213" t="str">
        <f t="shared" si="2"/>
        <v/>
      </c>
      <c r="C26" s="18" t="str">
        <f t="shared" si="0"/>
        <v/>
      </c>
      <c r="D26" s="19"/>
      <c r="E26" s="214" t="e">
        <f t="shared" si="1"/>
        <v>#N/A</v>
      </c>
      <c r="F26" s="13"/>
      <c r="G26" s="13"/>
    </row>
    <row r="27" spans="2:7" x14ac:dyDescent="0.25">
      <c r="B27" s="213" t="str">
        <f t="shared" si="2"/>
        <v/>
      </c>
      <c r="C27" s="18" t="str">
        <f t="shared" si="0"/>
        <v/>
      </c>
      <c r="D27" s="19"/>
      <c r="E27" s="214" t="e">
        <f t="shared" si="1"/>
        <v>#N/A</v>
      </c>
      <c r="F27" s="13"/>
      <c r="G27" s="13"/>
    </row>
    <row r="28" spans="2:7" x14ac:dyDescent="0.25">
      <c r="B28" s="213" t="str">
        <f t="shared" si="2"/>
        <v/>
      </c>
      <c r="C28" s="18" t="str">
        <f t="shared" si="0"/>
        <v/>
      </c>
      <c r="D28" s="19"/>
      <c r="E28" s="214" t="e">
        <f t="shared" si="1"/>
        <v>#N/A</v>
      </c>
      <c r="F28" s="13"/>
      <c r="G28" s="13"/>
    </row>
    <row r="29" spans="2:7" x14ac:dyDescent="0.25">
      <c r="B29" s="213" t="str">
        <f t="shared" si="2"/>
        <v/>
      </c>
      <c r="C29" s="18" t="str">
        <f t="shared" si="0"/>
        <v/>
      </c>
      <c r="D29" s="19"/>
      <c r="E29" s="214" t="e">
        <f t="shared" si="1"/>
        <v>#N/A</v>
      </c>
      <c r="F29" s="13"/>
      <c r="G29" s="13"/>
    </row>
    <row r="30" spans="2:7" x14ac:dyDescent="0.25">
      <c r="B30" s="213" t="str">
        <f t="shared" si="2"/>
        <v/>
      </c>
      <c r="C30" s="18" t="str">
        <f t="shared" si="0"/>
        <v/>
      </c>
      <c r="D30" s="19"/>
      <c r="E30" s="214" t="e">
        <f t="shared" si="1"/>
        <v>#N/A</v>
      </c>
      <c r="F30" s="13"/>
      <c r="G30" s="13"/>
    </row>
    <row r="31" spans="2:7" x14ac:dyDescent="0.25">
      <c r="B31" s="213" t="str">
        <f t="shared" si="2"/>
        <v/>
      </c>
      <c r="C31" s="18" t="str">
        <f t="shared" si="0"/>
        <v/>
      </c>
      <c r="D31" s="19"/>
      <c r="E31" s="214" t="e">
        <f t="shared" si="1"/>
        <v>#N/A</v>
      </c>
      <c r="F31" s="13"/>
      <c r="G31" s="13"/>
    </row>
    <row r="32" spans="2:7" x14ac:dyDescent="0.25">
      <c r="B32" s="213" t="str">
        <f t="shared" si="2"/>
        <v/>
      </c>
      <c r="C32" s="18" t="str">
        <f t="shared" si="0"/>
        <v/>
      </c>
      <c r="D32" s="19"/>
      <c r="E32" s="214" t="e">
        <f t="shared" si="1"/>
        <v>#N/A</v>
      </c>
      <c r="F32" s="13"/>
      <c r="G32" s="13"/>
    </row>
    <row r="33" spans="2:7" x14ac:dyDescent="0.25">
      <c r="B33" s="213" t="str">
        <f t="shared" si="2"/>
        <v/>
      </c>
      <c r="C33" s="18" t="str">
        <f t="shared" si="0"/>
        <v/>
      </c>
      <c r="D33" s="19"/>
      <c r="E33" s="214" t="e">
        <f t="shared" si="1"/>
        <v>#N/A</v>
      </c>
      <c r="F33" s="13"/>
      <c r="G33" s="13"/>
    </row>
    <row r="34" spans="2:7" x14ac:dyDescent="0.25">
      <c r="B34" s="213" t="str">
        <f t="shared" si="2"/>
        <v/>
      </c>
      <c r="C34" s="18" t="str">
        <f t="shared" si="0"/>
        <v/>
      </c>
      <c r="D34" s="19"/>
      <c r="E34" s="214" t="e">
        <f t="shared" si="1"/>
        <v>#N/A</v>
      </c>
      <c r="F34" s="13"/>
      <c r="G34" s="13"/>
    </row>
    <row r="35" spans="2:7" x14ac:dyDescent="0.25">
      <c r="B35" s="213" t="str">
        <f t="shared" si="2"/>
        <v/>
      </c>
      <c r="C35" s="18" t="str">
        <f t="shared" si="0"/>
        <v/>
      </c>
      <c r="D35" s="19"/>
      <c r="E35" s="214" t="e">
        <f t="shared" si="1"/>
        <v>#N/A</v>
      </c>
      <c r="F35" s="13"/>
      <c r="G35" s="13"/>
    </row>
    <row r="36" spans="2:7" x14ac:dyDescent="0.25">
      <c r="B36" s="215" t="str">
        <f t="shared" si="2"/>
        <v/>
      </c>
      <c r="C36" s="216" t="str">
        <f t="shared" si="0"/>
        <v/>
      </c>
      <c r="D36" s="217"/>
      <c r="E36" s="218" t="e">
        <f t="shared" si="1"/>
        <v>#N/A</v>
      </c>
      <c r="F36" s="13"/>
      <c r="G36" s="13"/>
    </row>
    <row r="37" spans="2:7" x14ac:dyDescent="0.25">
      <c r="B37" s="17" t="str">
        <f>IF(C37="","",B36+1)</f>
        <v/>
      </c>
      <c r="C37" s="18" t="str">
        <f t="shared" si="0"/>
        <v/>
      </c>
      <c r="D37" s="19"/>
      <c r="E37" s="24" t="e">
        <f t="shared" si="1"/>
        <v>#N/A</v>
      </c>
      <c r="F37" s="9"/>
      <c r="G37" s="9"/>
    </row>
    <row r="38" spans="2:7" x14ac:dyDescent="0.25">
      <c r="B38" s="8"/>
      <c r="C38" s="8"/>
      <c r="D38" s="9"/>
      <c r="E38" s="8"/>
      <c r="F38" s="9"/>
      <c r="G38" s="9"/>
    </row>
  </sheetData>
  <sheetProtection sheet="1" objects="1" scenarios="1"/>
  <customSheetViews>
    <customSheetView guid="{2B0692CF-4177-422C-A620-ABA6158FDE4D}" showPageBreaks="1" printArea="1" state="hidden" view="pageBreakPreview">
      <selection activeCell="T23" sqref="T23"/>
      <pageMargins left="0.62992125984251968" right="0.55118110236220474" top="1.1023622047244095" bottom="0.70866141732283472" header="0" footer="0.15748031496062992"/>
      <pageSetup paperSize="9" orientation="landscape" cellComments="asDisplayed" r:id="rId1"/>
      <headerFooter alignWithMargins="0">
        <oddHeader xml:space="preserve">&amp;L&amp;"Arial,Bold"&amp;7Davis Langdon, An AECOM Company&amp;R&amp;7page &amp;P of &amp;N-1 </oddHeader>
        <oddFooter xml:space="preserve">&amp;L&amp;"Arial,Bold"&amp;7Program, Cost, Consultancy&amp;"Arial,Regular"
www.davislangdon.com
www.aecom.com&amp;R&amp;9 </oddFooter>
      </headerFooter>
    </customSheetView>
    <customSheetView guid="{6C33A4D3-AF33-443C-A522-C1A990C51A36}" showPageBreaks="1" printArea="1" state="hidden" view="pageBreakPreview">
      <selection activeCell="T23" sqref="T23"/>
      <pageMargins left="0.62992125984251968" right="0.55118110236220474" top="1.1023622047244095" bottom="0.70866141732283472" header="0" footer="0.15748031496062992"/>
      <pageSetup paperSize="9" orientation="landscape" cellComments="asDisplayed" r:id="rId2"/>
      <headerFooter alignWithMargins="0">
        <oddHeader xml:space="preserve">&amp;L&amp;"Arial,Bold"&amp;7Davis Langdon, An AECOM Company&amp;R&amp;7page &amp;P of &amp;N-1 </oddHeader>
        <oddFooter xml:space="preserve">&amp;L&amp;"Arial,Bold"&amp;7Program, Cost, Consultancy&amp;"Arial,Regular"
www.davislangdon.com
www.aecom.com&amp;R&amp;9 </oddFooter>
      </headerFooter>
    </customSheetView>
  </customSheetViews>
  <mergeCells count="1">
    <mergeCell ref="D5:E5"/>
  </mergeCells>
  <phoneticPr fontId="4" type="noConversion"/>
  <conditionalFormatting sqref="E7:E37">
    <cfRule type="expression" dxfId="12" priority="1" stopIfTrue="1">
      <formula>ISERROR(E7)</formula>
    </cfRule>
  </conditionalFormatting>
  <dataValidations xWindow="130" yWindow="125" count="1">
    <dataValidation allowBlank="1" showInputMessage="1" showErrorMessage="1" promptTitle="This is also the chart title" prompt="This text is also the chart title" sqref="B1" xr:uid="{00000000-0002-0000-0800-000000000000}"/>
  </dataValidations>
  <pageMargins left="0.62992125984251968" right="0.55118110236220474" top="1.1023622047244095" bottom="0.70866141732283472" header="0" footer="0.15748031496062992"/>
  <pageSetup paperSize="9" orientation="landscape" cellComments="asDisplayed" r:id="rId3"/>
  <headerFooter alignWithMargins="0">
    <oddHeader xml:space="preserve">&amp;L&amp;"Arial,Bold"&amp;7Davis Langdon, An AECOM Company&amp;R&amp;7page &amp;P of &amp;N-1 </oddHeader>
    <oddFooter xml:space="preserve">&amp;L&amp;"Arial,Bold"&amp;7Program, Cost, Consultancy&amp;"Arial,Regular"
www.davislangdon.com
www.aecom.com&amp;R&amp;9 </oddFooter>
  </headerFooter>
  <drawing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35</vt:i4>
      </vt:variant>
    </vt:vector>
  </HeadingPairs>
  <TitlesOfParts>
    <vt:vector size="55" baseType="lpstr">
      <vt:lpstr>Notes</vt:lpstr>
      <vt:lpstr>2.0 Cost Plan (Model) Summary</vt:lpstr>
      <vt:lpstr>2.0 Option 1</vt:lpstr>
      <vt:lpstr>5.0 Benchmarking Analysis 2</vt:lpstr>
      <vt:lpstr>5.0 Benchmarking Analysis 3</vt:lpstr>
      <vt:lpstr>7.0 Risks and Opportunities</vt:lpstr>
      <vt:lpstr>8.0 Outline Specification</vt:lpstr>
      <vt:lpstr>9.0 Schedule of Floor Areas</vt:lpstr>
      <vt:lpstr>Cash Flow</vt:lpstr>
      <vt:lpstr>Appendix A</vt:lpstr>
      <vt:lpstr>Part A Submission Statements</vt:lpstr>
      <vt:lpstr>Pricing Schedule</vt:lpstr>
      <vt:lpstr>Payment Milestones</vt:lpstr>
      <vt:lpstr>Option 4d</vt:lpstr>
      <vt:lpstr>Breakdown by Area</vt:lpstr>
      <vt:lpstr>(template)</vt:lpstr>
      <vt:lpstr>5.0 </vt:lpstr>
      <vt:lpstr>Flysheets</vt:lpstr>
      <vt:lpstr>Form of Tender Page 1</vt:lpstr>
      <vt:lpstr>Form of Tender Page 2</vt:lpstr>
      <vt:lpstr>Notes!client</vt:lpstr>
      <vt:lpstr>Notes!client2</vt:lpstr>
      <vt:lpstr>Notes!date</vt:lpstr>
      <vt:lpstr>'(template)'!Print_Area</vt:lpstr>
      <vt:lpstr>'2.0 Cost Plan (Model) Summary'!Print_Area</vt:lpstr>
      <vt:lpstr>'2.0 Option 1'!Print_Area</vt:lpstr>
      <vt:lpstr>'5.0 '!Print_Area</vt:lpstr>
      <vt:lpstr>'5.0 Benchmarking Analysis 2'!Print_Area</vt:lpstr>
      <vt:lpstr>'5.0 Benchmarking Analysis 3'!Print_Area</vt:lpstr>
      <vt:lpstr>'7.0 Risks and Opportunities'!Print_Area</vt:lpstr>
      <vt:lpstr>'8.0 Outline Specification'!Print_Area</vt:lpstr>
      <vt:lpstr>'9.0 Schedule of Floor Areas'!Print_Area</vt:lpstr>
      <vt:lpstr>'Appendix A'!Print_Area</vt:lpstr>
      <vt:lpstr>'Breakdown by Area'!Print_Area</vt:lpstr>
      <vt:lpstr>'Cash Flow'!Print_Area</vt:lpstr>
      <vt:lpstr>Flysheets!Print_Area</vt:lpstr>
      <vt:lpstr>'Form of Tender Page 1'!Print_Area</vt:lpstr>
      <vt:lpstr>'Form of Tender Page 2'!Print_Area</vt:lpstr>
      <vt:lpstr>'Option 4d'!Print_Area</vt:lpstr>
      <vt:lpstr>'Part A Submission Statements'!Print_Area</vt:lpstr>
      <vt:lpstr>'Payment Milestones'!Print_Area</vt:lpstr>
      <vt:lpstr>'Pricing Schedule'!Print_Area</vt:lpstr>
      <vt:lpstr>'(template)'!Print_Titles</vt:lpstr>
      <vt:lpstr>'2.0 Option 1'!Print_Titles</vt:lpstr>
      <vt:lpstr>'5.0 '!Print_Titles</vt:lpstr>
      <vt:lpstr>'Breakdown by Area'!Print_Titles</vt:lpstr>
      <vt:lpstr>'Option 4d'!Print_Titles</vt:lpstr>
      <vt:lpstr>'Payment Milestones'!Print_Titles</vt:lpstr>
      <vt:lpstr>'Pricing Schedule'!Print_Titles</vt:lpstr>
      <vt:lpstr>projcum</vt:lpstr>
      <vt:lpstr>Notes!project</vt:lpstr>
      <vt:lpstr>Notes!project2</vt:lpstr>
      <vt:lpstr>projmonthly</vt:lpstr>
      <vt:lpstr>Notes!report</vt:lpstr>
      <vt:lpstr>Notes!reportno</vt:lpstr>
    </vt:vector>
  </TitlesOfParts>
  <Company>Davis Langdon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TBBP Cost Plan or Cost Model Template</dc:title>
  <dc:creator>David Holmes</dc:creator>
  <cp:lastModifiedBy>John Primo</cp:lastModifiedBy>
  <cp:lastPrinted>2018-11-26T17:21:22Z</cp:lastPrinted>
  <dcterms:created xsi:type="dcterms:W3CDTF">2005-10-06T19:55:11Z</dcterms:created>
  <dcterms:modified xsi:type="dcterms:W3CDTF">2019-03-07T07:08:54Z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ummit News Article Author">
    <vt:lpwstr/>
  </property>
  <property fmtid="{D5CDD505-2E9C-101B-9397-08002B2CF9AE}" pid="3" name="Secondary Service Line">
    <vt:lpwstr>6</vt:lpwstr>
  </property>
  <property fmtid="{D5CDD505-2E9C-101B-9397-08002B2CF9AE}" pid="4" name="Branded?">
    <vt:lpwstr>Yes</vt:lpwstr>
  </property>
  <property fmtid="{D5CDD505-2E9C-101B-9397-08002B2CF9AE}" pid="5" name="Knowledge Author Permission">
    <vt:lpwstr>Yes</vt:lpwstr>
  </property>
  <property fmtid="{D5CDD505-2E9C-101B-9397-08002B2CF9AE}" pid="6" name="Knowledge Publication Date">
    <vt:lpwstr>2009-03-09T00:00:00Z</vt:lpwstr>
  </property>
  <property fmtid="{D5CDD505-2E9C-101B-9397-08002B2CF9AE}" pid="7" name="Knowledge Service Line">
    <vt:lpwstr>4</vt:lpwstr>
  </property>
  <property fmtid="{D5CDD505-2E9C-101B-9397-08002B2CF9AE}" pid="8" name="Knowledge Primary Sub-sector">
    <vt:lpwstr>30</vt:lpwstr>
  </property>
  <property fmtid="{D5CDD505-2E9C-101B-9397-08002B2CF9AE}" pid="9" name="QA Process">
    <vt:lpwstr/>
  </property>
  <property fmtid="{D5CDD505-2E9C-101B-9397-08002B2CF9AE}" pid="10" name="Order">
    <vt:lpwstr>18800.0000000000</vt:lpwstr>
  </property>
  <property fmtid="{D5CDD505-2E9C-101B-9397-08002B2CF9AE}" pid="11" name="Knowledge Task Based Best Practice">
    <vt:lpwstr>Yes</vt:lpwstr>
  </property>
  <property fmtid="{D5CDD505-2E9C-101B-9397-08002B2CF9AE}" pid="12" name="ContentType">
    <vt:lpwstr>General Document</vt:lpwstr>
  </property>
  <property fmtid="{D5CDD505-2E9C-101B-9397-08002B2CF9AE}" pid="13" name="ArticleByLine">
    <vt:lpwstr>Standard Cost Plan/Cost Model Template</vt:lpwstr>
  </property>
  <property fmtid="{D5CDD505-2E9C-101B-9397-08002B2CF9AE}" pid="14" name="Third sector">
    <vt:lpwstr>30</vt:lpwstr>
  </property>
  <property fmtid="{D5CDD505-2E9C-101B-9397-08002B2CF9AE}" pid="15" name="Knowledge Doc Security">
    <vt:lpwstr>No</vt:lpwstr>
  </property>
  <property fmtid="{D5CDD505-2E9C-101B-9397-08002B2CF9AE}" pid="16" name="Knowledge Primary Sector">
    <vt:lpwstr>30</vt:lpwstr>
  </property>
  <property fmtid="{D5CDD505-2E9C-101B-9397-08002B2CF9AE}" pid="17" name="Document source">
    <vt:lpwstr>21</vt:lpwstr>
  </property>
  <property fmtid="{D5CDD505-2E9C-101B-9397-08002B2CF9AE}" pid="18" name="Knowledge Regions">
    <vt:lpwstr>4</vt:lpwstr>
  </property>
  <property fmtid="{D5CDD505-2E9C-101B-9397-08002B2CF9AE}" pid="19" name="Knowledge Best Practice">
    <vt:lpwstr>No</vt:lpwstr>
  </property>
  <property fmtid="{D5CDD505-2E9C-101B-9397-08002B2CF9AE}" pid="20" name="Bids and submissions">
    <vt:lpwstr>No</vt:lpwstr>
  </property>
  <property fmtid="{D5CDD505-2E9C-101B-9397-08002B2CF9AE}" pid="21" name="Professional Procedure">
    <vt:lpwstr/>
  </property>
  <property fmtid="{D5CDD505-2E9C-101B-9397-08002B2CF9AE}" pid="22" name="Knowledge Revision Number">
    <vt:lpwstr/>
  </property>
  <property fmtid="{D5CDD505-2E9C-101B-9397-08002B2CF9AE}" pid="23" name="Process stage">
    <vt:lpwstr/>
  </property>
  <property fmtid="{D5CDD505-2E9C-101B-9397-08002B2CF9AE}" pid="24" name="Marked">
    <vt:lpwstr>0</vt:lpwstr>
  </property>
  <property fmtid="{D5CDD505-2E9C-101B-9397-08002B2CF9AE}" pid="25" name="Traditional Procurement">
    <vt:lpwstr/>
  </property>
  <property fmtid="{D5CDD505-2E9C-101B-9397-08002B2CF9AE}" pid="26" name="D&amp;B Procurement">
    <vt:lpwstr/>
  </property>
  <property fmtid="{D5CDD505-2E9C-101B-9397-08002B2CF9AE}" pid="27" name="Public Procurement">
    <vt:lpwstr/>
  </property>
  <property fmtid="{D5CDD505-2E9C-101B-9397-08002B2CF9AE}" pid="28" name="Single Stage Tendering">
    <vt:lpwstr/>
  </property>
  <property fmtid="{D5CDD505-2E9C-101B-9397-08002B2CF9AE}" pid="29" name="Two Stage Tendering">
    <vt:lpwstr/>
  </property>
  <property fmtid="{D5CDD505-2E9C-101B-9397-08002B2CF9AE}" pid="30" name="To Issue Advice">
    <vt:lpwstr/>
  </property>
  <property fmtid="{D5CDD505-2E9C-101B-9397-08002B2CF9AE}" pid="31" name="To Secure Inputs">
    <vt:lpwstr/>
  </property>
  <property fmtid="{D5CDD505-2E9C-101B-9397-08002B2CF9AE}" pid="32" name="Efficiency Driver">
    <vt:lpwstr/>
  </property>
  <property fmtid="{D5CDD505-2E9C-101B-9397-08002B2CF9AE}" pid="33" name="Key Duty">
    <vt:lpwstr/>
  </property>
  <property fmtid="{D5CDD505-2E9C-101B-9397-08002B2CF9AE}" pid="34" name="Enabling Duty">
    <vt:lpwstr/>
  </property>
  <property fmtid="{D5CDD505-2E9C-101B-9397-08002B2CF9AE}" pid="35" name="PublishingRollupImage">
    <vt:lpwstr/>
  </property>
  <property fmtid="{D5CDD505-2E9C-101B-9397-08002B2CF9AE}" pid="36" name="Knowledge Expiry Date">
    <vt:lpwstr/>
  </property>
  <property fmtid="{D5CDD505-2E9C-101B-9397-08002B2CF9AE}" pid="37" name="Order of navigation">
    <vt:lpwstr/>
  </property>
</Properties>
</file>